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F0FAWzJOZ6EsCLoOe6NUc4Ry1Dm1Rix3e8HcTmaj3Hkie+1diYmoRa/1gZUaNaMxk0tUiy1l3nC+YYss+ukYg==" workbookSaltValue="Kedz8pUgmfSL7yM2JMitr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P20" i="19"/>
  <c r="BE11" i="13"/>
  <c r="BD18" i="8"/>
  <c r="BF18" i="8"/>
  <c r="BC13" i="13"/>
  <c r="N10" i="11"/>
  <c r="N9" i="11"/>
  <c r="ES20" i="8"/>
  <c r="C19" i="7"/>
  <c r="AC20" i="13"/>
  <c r="R20" i="8"/>
  <c r="EP20" i="19"/>
  <c r="BD18" i="13"/>
  <c r="BE17" i="13"/>
  <c r="BF17" i="13"/>
  <c r="E12" i="3" l="1"/>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D11" i="12"/>
  <c r="AG13" i="21"/>
  <c r="AG20" i="21" s="1"/>
  <c r="BE12" i="8"/>
  <c r="I12" i="7" s="1"/>
  <c r="BF15" i="8"/>
  <c r="J15" i="7" s="1"/>
  <c r="AN17" i="11"/>
  <c r="H11" i="2"/>
  <c r="L11" i="14"/>
  <c r="G19" i="2"/>
  <c r="H19" i="2" s="1"/>
  <c r="AL12" i="11"/>
  <c r="D17" i="6"/>
  <c r="F12" i="2"/>
  <c r="AL11" i="11"/>
  <c r="AN15" i="11"/>
  <c r="D15" i="6"/>
  <c r="BF11" i="8"/>
  <c r="J11" i="7" s="1"/>
  <c r="AO17" i="11"/>
  <c r="B11" i="6"/>
  <c r="C17" i="6"/>
  <c r="I11" i="7"/>
  <c r="J9" i="2"/>
  <c r="L17" i="14"/>
  <c r="H18" i="2"/>
  <c r="D9" i="12"/>
  <c r="E9" i="12"/>
  <c r="B12" i="6"/>
  <c r="BE9" i="8"/>
  <c r="I9" i="7" s="1"/>
  <c r="T19" i="17"/>
  <c r="E19" i="2"/>
  <c r="F19" i="2" s="1"/>
  <c r="E17" i="6"/>
  <c r="B17" i="6"/>
  <c r="R8" i="9"/>
  <c r="AL17" i="11"/>
  <c r="BG9" i="8"/>
  <c r="F11" i="12"/>
  <c r="H9" i="2"/>
  <c r="AN9" i="11"/>
  <c r="D9" i="6"/>
  <c r="J9" i="12" s="1"/>
  <c r="C9" i="6"/>
  <c r="K18" i="7"/>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G20" i="7" l="1"/>
  <c r="I10" i="12"/>
  <c r="BM20" i="26"/>
  <c r="K12" i="12"/>
  <c r="S16" i="16"/>
  <c r="AP16" i="27"/>
  <c r="BU16" i="17"/>
  <c r="Q16" i="17"/>
  <c r="BV16" i="26"/>
  <c r="BH16" i="26"/>
  <c r="T16" i="26"/>
  <c r="BM16" i="11"/>
  <c r="BK16" i="11"/>
  <c r="BI16" i="11"/>
  <c r="BG16" i="11"/>
  <c r="V16" i="11"/>
  <c r="S16" i="26"/>
  <c r="BL16" i="11"/>
  <c r="BJ16" i="11"/>
  <c r="BH16" i="11"/>
  <c r="AP16" i="20"/>
  <c r="BV16" i="16"/>
  <c r="BH16" i="16"/>
  <c r="T16" i="16"/>
  <c r="BW16" i="27"/>
  <c r="P16" i="17"/>
  <c r="BF16" i="11"/>
  <c r="R16" i="14"/>
  <c r="S16" i="17"/>
  <c r="X16" i="16"/>
  <c r="L16" i="2"/>
  <c r="AA16" i="26"/>
  <c r="S16" i="14"/>
  <c r="V16" i="14" s="1"/>
  <c r="U16" i="17"/>
  <c r="V16" i="16"/>
  <c r="X16" i="26"/>
  <c r="AA16" i="16"/>
  <c r="AO16" i="17"/>
  <c r="V16" i="26"/>
  <c r="X16" i="17"/>
  <c r="V16" i="20"/>
  <c r="T16" i="11"/>
  <c r="AZ16" i="11"/>
  <c r="V16" i="2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V15" i="26"/>
  <c r="AA9" i="26"/>
  <c r="AA10" i="26"/>
  <c r="AA11" i="26"/>
  <c r="AA15" i="26"/>
  <c r="V18" i="26"/>
  <c r="V9" i="26"/>
  <c r="X11" i="26"/>
  <c r="AA12" i="26"/>
  <c r="V17" i="26"/>
  <c r="X18" i="26"/>
  <c r="AA19" i="26"/>
  <c r="AA13" i="26"/>
  <c r="AP19" i="20"/>
  <c r="X11" i="17"/>
  <c r="X15" i="16"/>
  <c r="X19" i="16" s="1"/>
  <c r="BM17" i="11"/>
  <c r="S18" i="16"/>
  <c r="BH19" i="26"/>
  <c r="BH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Q16" i="11"/>
  <c r="P16" i="11"/>
  <c r="S19" i="26"/>
  <c r="S20" i="26" s="1"/>
  <c r="T19" i="26"/>
  <c r="T20" i="26" s="1"/>
  <c r="BV19" i="26"/>
  <c r="BV22" i="26" s="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U21" i="16"/>
  <c r="BI21" i="16"/>
  <c r="AR21" i="11"/>
  <c r="L21" i="16"/>
  <c r="AM21" i="21"/>
  <c r="AN21" i="11"/>
  <c r="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AY21" i="16"/>
  <c r="O21" i="16"/>
  <c r="BK21" i="16"/>
  <c r="P21" i="16"/>
  <c r="J21" i="11"/>
  <c r="X21" i="11"/>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<sst xmlns="http://schemas.openxmlformats.org/spreadsheetml/2006/main" count="2499" uniqueCount="1025">
  <si>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</si>
  <si>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</si>
  <si>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</si>
  <si>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</si>
  <si>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</si>
  <si>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</si>
  <si>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</si>
  <si>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</si>
  <si>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</si>
  <si>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</si>
  <si>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</si>
  <si>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</si>
  <si>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</si>
  <si>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</si>
  <si>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</si>
  <si>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</si>
  <si>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</si>
  <si>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</si>
  <si>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</si>
  <si>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</si>
  <si>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</si>
  <si>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</si>
  <si>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</si>
  <si>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</si>
  <si>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</si>
  <si>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</si>
  <si>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</si>
  <si>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</si>
  <si>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</si>
  <si>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</si>
  <si>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</si>
  <si>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</si>
  <si>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</si>
  <si>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</si>
  <si>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</si>
  <si>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</si>
  <si>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</si>
  <si>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</si>
  <si>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</si>
  <si>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</si>
  <si>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</si>
  <si>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</si>
  <si>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</si>
  <si>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</si>
  <si>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</si>
  <si>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</si>
  <si>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</si>
  <si>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</si>
  <si>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</si>
  <si>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</si>
  <si>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</si>
  <si>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</si>
  <si>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</si>
  <si>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</si>
  <si>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</si>
  <si>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</si>
  <si>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</si>
  <si>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</si>
  <si>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</si>
  <si>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</si>
  <si>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</si>
  <si>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</si>
  <si>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</si>
  <si>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</si>
  <si>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</si>
  <si>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</si>
  <si>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</si>
  <si>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</si>
  <si>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</si>
  <si>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</si>
  <si>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</si>
  <si>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</si>
  <si>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</si>
  <si>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</si>
  <si>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</si>
  <si>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</si>
  <si>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</si>
  <si>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</si>
  <si>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</si>
  <si>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</si>
  <si>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</si>
  <si>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</si>
  <si>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</si>
  <si>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</si>
  <si>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</si>
  <si>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</si>
  <si>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</si>
  <si>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</si>
  <si>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</si>
  <si>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</si>
  <si>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</si>
  <si>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</si>
  <si>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</si>
  <si>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</si>
  <si>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</si>
  <si>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</si>
  <si>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</si>
  <si>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</si>
  <si>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</si>
  <si>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</si>
  <si>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</si>
  <si>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</si>
  <si>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</si>
  <si>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</si>
  <si>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</si>
  <si>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</si>
  <si>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</si>
  <si>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</si>
  <si>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</si>
  <si>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</si>
  <si>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</si>
  <si>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</si>
  <si>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</si>
  <si>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</si>
  <si>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</si>
  <si>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</si>
  <si>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</si>
  <si>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</si>
  <si>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</si>
  <si>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</si>
  <si>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</si>
  <si>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</si>
  <si>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</si>
  <si>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</si>
  <si>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</si>
  <si>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</si>
  <si>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</si>
  <si>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</si>
  <si>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</si>
  <si>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</si>
  <si>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</si>
  <si>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</si>
  <si>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</si>
  <si>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</si>
  <si>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</si>
  <si>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</si>
  <si>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</si>
  <si>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</si>
  <si>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</si>
  <si>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</si>
  <si>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</si>
  <si>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</si>
  <si>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</si>
  <si>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</si>
  <si>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</si>
  <si>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</si>
  <si>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</si>
  <si>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</si>
  <si>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</si>
  <si>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</si>
  <si>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</si>
  <si>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</si>
  <si>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</si>
  <si>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</si>
  <si>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</si>
  <si>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</si>
  <si>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</si>
  <si>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</si>
  <si>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</si>
  <si>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</si>
  <si>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</si>
  <si>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</si>
  <si>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</si>
  <si>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</si>
  <si>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</si>
  <si>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</si>
  <si>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</si>
  <si>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</si>
  <si>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</si>
  <si>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</si>
  <si>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</si>
  <si>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</si>
  <si>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</si>
  <si>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</si>
  <si>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</si>
  <si>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</si>
  <si>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</si>
  <si>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</si>
  <si>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</si>
  <si>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</si>
  <si>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</si>
  <si>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</si>
  <si>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</si>
  <si>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</si>
  <si>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</si>
  <si>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</si>
  <si>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</si>
  <si>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</si>
  <si>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</si>
  <si>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</si>
  <si>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</si>
  <si>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</si>
  <si>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</si>
  <si>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</si>
  <si>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</si>
  <si>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</si>
  <si>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</si>
  <si>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</si>
  <si>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</si>
  <si>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</si>
  <si>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</si>
  <si>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</si>
  <si>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</si>
  <si>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</si>
  <si>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</si>
  <si>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</si>
  <si>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</si>
  <si>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</si>
  <si>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</si>
  <si>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</si>
  <si>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</si>
  <si>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</si>
  <si>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</si>
  <si>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</si>
  <si>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</si>
  <si>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</si>
  <si>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</si>
  <si>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</si>
  <si>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</si>
  <si>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</si>
  <si>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</si>
  <si>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</si>
  <si>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</si>
  <si>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</si>
  <si>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</si>
  <si>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</si>
  <si>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</si>
  <si>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</si>
  <si>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</si>
  <si>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</si>
  <si>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</si>
  <si>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</si>
  <si>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</si>
  <si>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</si>
  <si>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</si>
  <si>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</si>
  <si>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</si>
  <si>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</si>
  <si>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</si>
  <si>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</si>
  <si>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</si>
  <si>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</si>
  <si>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</si>
  <si>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</si>
  <si>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</si>
  <si>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</si>
  <si>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</si>
  <si>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</si>
  <si>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</si>
  <si>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</si>
  <si>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</si>
  <si>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</si>
  <si>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</si>
  <si>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</si>
  <si>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</si>
  <si>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</si>
  <si>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</si>
  <si>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</si>
  <si>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</si>
  <si>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</si>
  <si>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</si>
  <si>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</si>
  <si>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</si>
  <si>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</si>
  <si>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</si>
  <si>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</si>
  <si>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</si>
  <si>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</si>
  <si>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</si>
  <si>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</si>
  <si>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</si>
  <si>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</si>
  <si>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</si>
  <si>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</si>
  <si>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</si>
  <si>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</si>
  <si>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</si>
  <si>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</si>
  <si>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</si>
  <si>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</si>
  <si>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</si>
  <si>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</si>
  <si>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</si>
  <si>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</si>
  <si>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</si>
  <si>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</si>
  <si>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</si>
  <si>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</si>
  <si>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</si>
  <si>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</si>
  <si>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</si>
  <si>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</si>
  <si>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</si>
  <si>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</si>
  <si>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</si>
  <si>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</si>
  <si>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</si>
  <si>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</si>
  <si>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</si>
  <si>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</si>
  <si>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</si>
  <si>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</si>
  <si>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</si>
  <si>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</si>
  <si>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</si>
  <si>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</si>
  <si>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</si>
  <si>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</si>
  <si>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</si>
  <si>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</si>
  <si>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</si>
  <si>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</si>
  <si>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</si>
  <si>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</si>
  <si>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</si>
  <si>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</si>
  <si>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</si>
  <si>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</si>
  <si>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</si>
  <si>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</si>
  <si>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</si>
  <si>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</si>
  <si>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</si>
  <si>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</si>
  <si>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</si>
  <si>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</si>
  <si>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</si>
  <si>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</si>
  <si>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</si>
  <si>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</si>
  <si>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</si>
  <si>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</si>
  <si>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</si>
  <si>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</si>
  <si>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</si>
  <si>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</si>
  <si>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</si>
  <si>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</si>
  <si>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</si>
  <si>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</si>
  <si>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</si>
  <si>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</si>
  <si>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</si>
  <si>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</si>
  <si>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</si>
  <si>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</si>
  <si>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</si>
  <si>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</si>
  <si>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</si>
  <si>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</si>
  <si>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</si>
  <si>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</si>
  <si>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</si>
  <si>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</si>
  <si>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</si>
  <si>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</si>
  <si>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</si>
  <si>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</si>
  <si>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</si>
  <si>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</si>
  <si>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</si>
  <si>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</si>
  <si>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</si>
  <si>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</si>
  <si>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</si>
  <si>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</si>
  <si>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</si>
  <si>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</si>
  <si>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</si>
  <si>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</si>
  <si>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</si>
  <si>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</si>
  <si>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</si>
  <si>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</si>
  <si>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</si>
  <si>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</si>
  <si>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</si>
  <si>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</si>
  <si>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</si>
  <si>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</si>
  <si>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</si>
  <si>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</si>
  <si>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</si>
  <si>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</si>
  <si>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</si>
  <si>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</si>
  <si>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</si>
  <si>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</si>
  <si>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</si>
  <si>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</si>
  <si>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</si>
  <si>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</si>
  <si>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</si>
  <si>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</si>
  <si>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</si>
  <si>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</si>
  <si>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</si>
  <si>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</si>
  <si>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</si>
  <si>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</si>
  <si>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</si>
  <si>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</si>
  <si>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</si>
  <si>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</si>
  <si>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</si>
  <si>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</si>
  <si>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</si>
  <si>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</si>
  <si>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</si>
  <si>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</si>
  <si>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</si>
  <si>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</si>
  <si>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</si>
  <si>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</si>
  <si>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</si>
  <si>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</si>
  <si>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</si>
  <si>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</si>
  <si>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</si>
  <si>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</si>
  <si>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</si>
  <si>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</si>
  <si>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</si>
  <si>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</si>
  <si>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</si>
  <si>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</si>
  <si>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</si>
  <si>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</si>
  <si>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</si>
  <si>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</si>
  <si>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</si>
  <si>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</si>
  <si>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</si>
  <si>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</si>
  <si>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</si>
  <si>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</si>
  <si>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</si>
  <si>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</si>
  <si>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</si>
  <si>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</si>
  <si>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</si>
  <si>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</si>
  <si>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</si>
  <si>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</si>
  <si>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</si>
  <si>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</si>
  <si>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</si>
  <si>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</si>
  <si>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</si>
  <si>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</si>
  <si>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</si>
  <si>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</si>
  <si>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</si>
  <si>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</si>
  <si>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</si>
  <si>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</si>
  <si>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</si>
  <si>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</si>
  <si>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</si>
  <si>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</si>
  <si>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</si>
  <si>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</si>
  <si>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</si>
  <si>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</si>
  <si>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</si>
  <si>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</si>
  <si>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</si>
  <si>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</si>
  <si>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</si>
  <si>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</si>
  <si>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</si>
  <si>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</si>
  <si>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</si>
  <si>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</si>
  <si>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</si>
  <si>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</si>
  <si>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</si>
  <si>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</si>
  <si>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</si>
  <si>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</si>
  <si>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</si>
  <si>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</si>
  <si>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</si>
  <si>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</si>
  <si>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</si>
  <si>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</si>
  <si>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</si>
  <si>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</si>
  <si>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</si>
  <si>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</si>
  <si>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</si>
  <si>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</si>
  <si>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</si>
  <si>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</si>
  <si>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</si>
  <si>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</si>
  <si>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</si>
  <si>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</si>
  <si>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</si>
  <si>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</si>
  <si>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</si>
  <si>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</si>
  <si>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</si>
  <si>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</si>
  <si>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</si>
  <si>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</si>
  <si>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</si>
  <si>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</si>
  <si>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</si>
  <si>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</si>
  <si>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</si>
  <si>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</si>
  <si>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</si>
  <si>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</si>
  <si>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</si>
  <si>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</si>
  <si>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</si>
  <si>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</si>
  <si>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</si>
  <si>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</si>
  <si>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</si>
  <si>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</si>
  <si>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</si>
  <si>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</si>
  <si>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</si>
  <si>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</si>
  <si>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</si>
  <si>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</si>
  <si>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</si>
  <si>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</si>
  <si>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</si>
  <si>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</si>
  <si>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</si>
  <si>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</si>
  <si>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</si>
  <si>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</si>
  <si>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</si>
  <si>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</si>
  <si>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</si>
  <si>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</si>
  <si>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</si>
  <si>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</si>
  <si>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</si>
  <si>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</si>
  <si>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</si>
  <si>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</si>
  <si>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</si>
  <si>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</si>
  <si>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</si>
  <si>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</si>
  <si>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</si>
  <si>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</si>
  <si>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</si>
  <si>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</si>
  <si>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</si>
  <si>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</si>
  <si>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</si>
  <si>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</si>
  <si>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</si>
  <si>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</si>
  <si>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</si>
  <si>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</si>
  <si>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</si>
  <si>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</si>
  <si>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</si>
  <si>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</si>
  <si>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</si>
  <si>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</si>
  <si>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</si>
  <si>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</si>
  <si>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</si>
  <si>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</si>
  <si>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</si>
  <si>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</si>
  <si>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</si>
  <si>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</si>
  <si>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</si>
  <si>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</si>
  <si>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</si>
  <si>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</si>
  <si>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</si>
  <si>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</si>
  <si>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</si>
  <si>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</si>
  <si>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</si>
  <si>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</si>
  <si>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</si>
  <si>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</si>
  <si>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</si>
  <si>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</si>
  <si>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</si>
  <si>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</si>
  <si>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</si>
  <si>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</si>
  <si>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</si>
  <si>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</si>
  <si>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</si>
  <si>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</si>
  <si>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</si>
  <si>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</si>
  <si>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</si>
  <si>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</si>
  <si>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</si>
  <si>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</si>
  <si>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</si>
  <si>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</si>
  <si>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</si>
  <si>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</si>
  <si>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</si>
  <si>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</si>
  <si>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</si>
  <si>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</si>
  <si>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</si>
  <si>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</si>
  <si>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</si>
  <si>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</si>
  <si>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</si>
  <si>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</si>
  <si>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</si>
  <si>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</si>
  <si>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</si>
  <si>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</si>
  <si>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</si>
  <si>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</si>
  <si>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</si>
  <si>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</si>
  <si>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</si>
  <si>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</si>
  <si>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</si>
  <si>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</si>
  <si>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</si>
  <si>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</si>
  <si>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</si>
  <si>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</si>
  <si>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</si>
  <si>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</si>
  <si>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</si>
  <si>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</si>
  <si>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</si>
  <si>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</si>
  <si>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</si>
  <si>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</si>
  <si>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</si>
  <si>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</si>
  <si>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</si>
  <si>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</si>
  <si>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</si>
  <si>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</si>
  <si>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</si>
  <si>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</si>
  <si>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</si>
  <si>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</si>
  <si>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</si>
  <si>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</si>
  <si>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</si>
  <si>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</si>
  <si>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</si>
  <si>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</si>
  <si>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</si>
  <si>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</si>
  <si>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</si>
  <si>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</si>
  <si>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</si>
  <si>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</si>
  <si>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</si>
  <si>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</si>
  <si>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</si>
  <si>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</si>
  <si>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</si>
  <si>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</si>
  <si>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</si>
  <si>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</si>
  <si>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</si>
  <si>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</si>
  <si>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</si>
  <si>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</si>
  <si>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</si>
  <si>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</si>
  <si>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</si>
  <si>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</si>
  <si>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</si>
  <si>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</si>
  <si>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</si>
  <si>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</si>
  <si>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</si>
  <si>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</si>
  <si>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</si>
  <si>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</si>
  <si>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</si>
  <si>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</si>
  <si>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</si>
  <si>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</si>
  <si>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</si>
  <si>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</si>
  <si>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</si>
  <si>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</si>
  <si>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</si>
  <si>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</si>
  <si>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</si>
  <si>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</si>
  <si>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</si>
  <si>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</si>
  <si>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</si>
  <si>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</si>
  <si>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</si>
  <si>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</si>
  <si>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</si>
  <si>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</si>
  <si>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</si>
  <si>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</si>
  <si>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</si>
  <si>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</si>
  <si>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</si>
  <si>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</si>
  <si>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</si>
  <si>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</si>
  <si>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</si>
  <si>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</si>
  <si>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</si>
  <si>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</si>
  <si>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</si>
  <si>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</si>
  <si>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</si>
  <si>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</si>
  <si>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</si>
  <si>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</si>
  <si>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</si>
  <si>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</si>
  <si>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</si>
  <si>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</si>
  <si>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</si>
  <si>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</si>
  <si>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</si>
  <si>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</si>
  <si>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</si>
  <si>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</si>
  <si>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</si>
  <si>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</si>
  <si>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</si>
  <si>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</si>
  <si>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</si>
  <si>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</si>
  <si>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</si>
  <si>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</si>
  <si>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</si>
  <si>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</si>
  <si>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</si>
  <si>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</si>
  <si>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</si>
  <si>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</si>
  <si>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</si>
  <si>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</si>
  <si>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</si>
  <si>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</si>
  <si>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</si>
  <si>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</si>
  <si>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</si>
  <si>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</si>
  <si>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</si>
  <si>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</si>
  <si>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</si>
  <si>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</si>
  <si>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</si>
  <si>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</si>
  <si>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</si>
  <si>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</si>
  <si>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</si>
  <si>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</si>
  <si>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</si>
  <si>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</si>
  <si>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</si>
  <si>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</si>
  <si>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</si>
  <si>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</si>
  <si>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</si>
  <si>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</si>
  <si>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</si>
  <si>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</si>
  <si>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</si>
  <si>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</si>
  <si>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</si>
  <si>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</si>
  <si>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</si>
  <si>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</si>
  <si>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</si>
  <si>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</si>
  <si>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</si>
  <si>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</si>
  <si>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</si>
  <si>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</si>
  <si>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</si>
  <si>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</si>
  <si>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</si>
  <si>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</si>
  <si>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</si>
  <si>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</si>
  <si>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</si>
  <si>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</si>
  <si>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</si>
  <si>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</si>
  <si>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</si>
  <si>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</si>
  <si>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</si>
  <si>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</si>
  <si>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</si>
  <si>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</si>
  <si>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</si>
  <si>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</si>
  <si>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</si>
  <si>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</si>
  <si>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</si>
  <si>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</si>
  <si>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</si>
  <si>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</si>
  <si>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</si>
  <si>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</si>
  <si>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</si>
  <si>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</si>
  <si>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</si>
  <si>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</si>
  <si>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</si>
  <si>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</si>
  <si>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</si>
  <si>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</si>
  <si>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</si>
  <si>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</si>
  <si>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</si>
  <si>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</si>
  <si>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</si>
  <si>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</si>
  <si>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</si>
  <si>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</si>
  <si>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</si>
  <si>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</si>
  <si>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</si>
  <si>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</si>
  <si>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</si>
  <si>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</si>
  <si>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</si>
  <si>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</si>
  <si>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</si>
  <si>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</si>
  <si>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</si>
  <si>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</si>
  <si>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</si>
  <si>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</si>
  <si>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</si>
  <si>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</si>
  <si>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</si>
  <si>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</si>
  <si>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</si>
  <si>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</si>
  <si>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</si>
  <si>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</si>
  <si>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</si>
  <si>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</si>
  <si>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</si>
  <si>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</si>
  <si>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</si>
  <si>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</si>
  <si>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</si>
  <si>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</si>
  <si>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</si>
  <si>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</si>
  <si>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</si>
  <si>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</si>
  <si>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</si>
  <si>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</si>
  <si>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</si>
  <si>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</si>
  <si>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</si>
  <si>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</si>
  <si>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</si>
  <si>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</si>
  <si>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</si>
  <si>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</si>
  <si>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</si>
  <si>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</si>
  <si>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</si>
  <si>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</si>
  <si>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</si>
  <si>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</si>
  <si>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</si>
  <si>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</si>
  <si>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</si>
  <si>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</si>
  <si>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</si>
  <si>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</si>
  <si>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</si>
  <si>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</si>
  <si>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</si>
  <si>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</si>
  <si>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</si>
  <si>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</si>
  <si>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</si>
  <si>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</si>
  <si>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</si>
  <si>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</si>
  <si>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</si>
  <si>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</si>
  <si>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</si>
  <si>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</si>
  <si>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</si>
  <si>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</si>
  <si>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</si>
  <si>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</si>
  <si>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</si>
  <si>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</si>
  <si>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</si>
  <si>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</si>
  <si>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</si>
  <si>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</si>
  <si>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</si>
  <si>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</si>
  <si>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</si>
  <si>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</si>
  <si>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</si>
  <si>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</si>
  <si>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</si>
  <si>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</si>
  <si>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</si>
  <si>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</si>
  <si>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</si>
  <si>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</si>
  <si>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</si>
  <si>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</si>
  <si>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</si>
  <si>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</si>
  <si>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</si>
  <si>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</si>
  <si>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</si>
  <si>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</si>
  <si>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</si>
  <si>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</si>
  <si>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</si>
  <si>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</si>
  <si>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</si>
  <si>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</si>
  <si>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</si>
  <si>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</si>
  <si>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</si>
  <si>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</si>
  <si>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</si>
  <si>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</si>
  <si>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</si>
  <si>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</si>
  <si>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</si>
  <si>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</si>
  <si>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</si>
  <si>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</si>
  <si>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</si>
  <si>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</si>
  <si>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</si>
  <si>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</si>
  <si>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</si>
  <si>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</si>
  <si>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</si>
  <si>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</si>
  <si>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</si>
  <si>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</si>
  <si>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</si>
  <si>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</si>
  <si>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</si>
  <si>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</si>
  <si>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</si>
  <si>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</si>
  <si>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</si>
  <si>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</si>
  <si>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</si>
  <si>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</si>
  <si>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</si>
  <si>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</si>
  <si>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</si>
  <si>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</si>
  <si>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</si>
  <si>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</si>
  <si>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</si>
  <si>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</si>
  <si>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</si>
  <si>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</si>
  <si>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</si>
  <si>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</si>
  <si>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</si>
  <si>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</si>
  <si>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</si>
  <si>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</si>
  <si>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</si>
  <si>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</si>
  <si>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</si>
  <si>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</si>
  <si>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</si>
  <si>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</si>
  <si>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</si>
  <si>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</si>
  <si>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</si>
  <si>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</si>
  <si>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</si>
  <si>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</si>
  <si>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</si>
  <si>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</si>
  <si>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</si>
  <si>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</si>
  <si>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</si>
  <si>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</si>
  <si>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</si>
  <si>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</si>
  <si>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</si>
  <si>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</si>
  <si>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</si>
  <si>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</si>
  <si>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</si>
  <si>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</si>
  <si>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</si>
  <si>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</si>
  <si>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</si>
  <si>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</si>
  <si>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</si>
  <si>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</si>
  <si>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</si>
  <si>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</si>
  <si>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</si>
  <si>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EXTREMADURA</t>
  </si>
  <si>
    <t>Provincias</t>
  </si>
  <si>
    <t>CACERES</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</si>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</sst>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1023</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KP0j5554XMZ1ye9O9gRPImRUFV9PXrreV3XJeI0h9UixAyi32vhNXvQU/68NN1Xfq7POVTsXBepW+3z/s0bNIw==" saltValue="Py90fcje9Yi42ro0DpFHJ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EXTREMADURA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5</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26.824808184143222</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3</v>
      </c>
      <c r="B10" s="501" t="str">
        <f>Datos!A10</f>
        <v>Sección De Violencia sobre la Mujer del TI</v>
      </c>
      <c r="C10" s="224">
        <f t="shared" si="0"/>
        <v>264</v>
      </c>
      <c r="D10" s="224">
        <f>IF(ISNUMBER(Datos!I10),Datos!I10," - ")</f>
        <v>264</v>
      </c>
      <c r="E10" s="225">
        <f>IF(ISNUMBER(Datos!J10),Datos!J10," - ")</f>
        <v>47</v>
      </c>
      <c r="F10" s="225">
        <f>IF(ISNUMBER(Datos!K10),Datos!K10," - ")</f>
        <v>56</v>
      </c>
      <c r="G10" s="1029" t="str">
        <f>IF(Datos!E10&lt;&gt;"",Datos!E10,Datos!D10)</f>
        <v>37</v>
      </c>
      <c r="H10" s="226">
        <f>IF(ISNUMBER(Datos!L10),Datos!L10," - ")</f>
        <v>255</v>
      </c>
      <c r="I10" s="1039" t="str">
        <f>IF(ISNUMBER(Datos!AS10/Datos!BM10),Datos!AS10/Datos!BM10," - ")</f>
        <v xml:space="preserve"> - </v>
      </c>
      <c r="J10" s="1040">
        <f>IF(ISNUMBER(Datos!BY10/Datos!CN10),Datos!BY10/Datos!CN10," - ")</f>
        <v>0</v>
      </c>
      <c r="K10" s="229">
        <f t="shared" ref="K10:K12" si="1">IF(ISNUMBER((E10-F10)/C10),(E10-F10)/C10," - ")</f>
        <v>-3.4090909090909088E-2</v>
      </c>
      <c r="L10" s="1020">
        <f>IF(ISNUMBER(NºAsuntos!I10/NºAsuntos!G10),(NºAsuntos!I10/NºAsuntos!G10)*11," - ")</f>
        <v>50.089285714285715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103.71428571428572</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264</v>
      </c>
      <c r="D13" s="1044">
        <f>SUBTOTAL(9,D9:D12)</f>
        <v>264</v>
      </c>
      <c r="E13" s="1045">
        <f>SUBTOTAL(9,E9:E12)</f>
        <v>47</v>
      </c>
      <c r="F13" s="1046">
        <f>SUBTOTAL(9,F9:F12)</f>
        <v>56</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3</v>
      </c>
      <c r="B15" s="501" t="str">
        <f>Datos!A15</f>
        <v xml:space="preserve">Seccion Instruccion Del T.I.                   </v>
      </c>
      <c r="C15" s="224">
        <f t="shared" ref="C15:C18" si="2">IF(ISNUMBER(H15-E15+F15),H15-E15+F15," - ")</f>
        <v>1876</v>
      </c>
      <c r="D15" s="224">
        <f>IF(ISNUMBER(IF(D_I="SI",Datos!I15,Datos!I15+Datos!AC15)),IF(D_I="SI",Datos!I15,Datos!I15+Datos!AC15)," - ")</f>
        <v>1883</v>
      </c>
      <c r="E15" s="225">
        <f>IF(ISNUMBER(IF(D_I="SI",Datos!J15,Datos!J15+Datos!AD15)),IF(D_I="SI",Datos!J15,Datos!J15+Datos!AD15)," - ")</f>
        <v>1293</v>
      </c>
      <c r="F15" s="225">
        <f>IF(ISNUMBER(IF(D_I="SI",Datos!K15,Datos!K15+Datos!AE15)),IF(D_I="SI",Datos!K15,Datos!K15+Datos!AE15)," - ")</f>
        <v>1426</v>
      </c>
      <c r="G15" s="1029" t="str">
        <f>IF(Datos!E15&lt;&gt;"",Datos!E15,Datos!D15)</f>
        <v>03</v>
      </c>
      <c r="H15" s="226">
        <f>IF(ISNUMBER(IF(D_I="SI",Datos!L15,Datos!L15+Datos!AF15)),IF(D_I="SI",Datos!L15,Datos!L15+Datos!AF15)," - ")</f>
        <v>1743</v>
      </c>
      <c r="I15" s="1039" t="str">
        <f>IF(ISNUMBER(Datos!AS15/Datos!BM15),Datos!AS15/Datos!BM15," - ")</f>
        <v xml:space="preserve"> - </v>
      </c>
      <c r="J15" s="1040">
        <f>IF(ISNUMBER(Datos!BY15/Datos!CN15),Datos!BY15/Datos!CN15," - ")</f>
        <v>0</v>
      </c>
      <c r="K15" s="229">
        <f t="shared" ref="K15:K18" si="3">IF(ISNUMBER((E15-F15)/C15),(E15-F15)/C15," - ")</f>
        <v>-7.0895522388059698E-2</v>
      </c>
      <c r="L15" s="1020">
        <f>IF(ISNUMBER(NºAsuntos!I15/NºAsuntos!G15),(NºAsuntos!I15/NºAsuntos!G15)*11," - ")</f>
        <v>13.445301542776999</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f t="shared" si="2"/>
        <v>33</v>
      </c>
      <c r="D17" s="224">
        <f>IF(ISNUMBER(IF(D_I="SI",Datos!I17,Datos!I17+Datos!AC17)),IF(D_I="SI",Datos!I17,Datos!I17+Datos!AC17)," - ")</f>
        <v>33</v>
      </c>
      <c r="E17" s="225">
        <f>IF(ISNUMBER(IF(D_I="SI",Datos!J17,Datos!J17+Datos!AD17)),IF(D_I="SI",Datos!J17,Datos!J17+Datos!AD17)," - ")</f>
        <v>0</v>
      </c>
      <c r="F17" s="225">
        <f>IF(ISNUMBER(IF(D_I="SI",Datos!K17,Datos!K17+Datos!AE17)),IF(D_I="SI",Datos!K17,Datos!K17+Datos!AE17)," - ")</f>
        <v>15</v>
      </c>
      <c r="G17" s="1029" t="str">
        <f>IF(Datos!E17&lt;&gt;"",Datos!E17,Datos!D17)</f>
        <v>04</v>
      </c>
      <c r="H17" s="226">
        <f>IF(ISNUMBER(IF(D_I="SI",Datos!L17,Datos!L17+Datos!AF17)),IF(D_I="SI",Datos!L17,Datos!L17+Datos!AF17)," - ")</f>
        <v>18</v>
      </c>
      <c r="I17" s="1039" t="str">
        <f>IF(ISNUMBER(Datos!AS17/Datos!BM17),Datos!AS17/Datos!BM17," - ")</f>
        <v xml:space="preserve"> - </v>
      </c>
      <c r="J17" s="1040">
        <f>IF(ISNUMBER(Datos!BY17/Datos!CN17),Datos!BY17/Datos!CN17," - ")</f>
        <v>0</v>
      </c>
      <c r="K17" s="229">
        <f t="shared" si="3"/>
        <v>-0.45454545454545453</v>
      </c>
      <c r="L17" s="1020">
        <f>IF(ISNUMBER(NºAsuntos!I17/NºAsuntos!G17),(NºAsuntos!I17/NºAsuntos!G17)*11," - ")</f>
        <v>13.2</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3</v>
      </c>
      <c r="B18" s="501" t="str">
        <f>Datos!A18</f>
        <v>Sección De Violencia sobre la Mujer del TI</v>
      </c>
      <c r="C18" s="224">
        <f t="shared" si="2"/>
        <v>286</v>
      </c>
      <c r="D18" s="224">
        <f>IF(ISNUMBER(IF(D_I="SI",Datos!I18,Datos!I18+Datos!AC18)),IF(D_I="SI",Datos!I18,Datos!I18+Datos!AC18)," - ")</f>
        <v>311</v>
      </c>
      <c r="E18" s="225">
        <f>IF(ISNUMBER(IF(D_I="SI",Datos!J18,Datos!J18+Datos!AD18)),IF(D_I="SI",Datos!J18,Datos!J18+Datos!AD18)," - ")</f>
        <v>522</v>
      </c>
      <c r="F18" s="225">
        <f>IF(ISNUMBER(IF(D_I="SI",Datos!K18,Datos!K18+Datos!AE18)),IF(D_I="SI",Datos!K18,Datos!K18+Datos!AE18)," - ")</f>
        <v>574</v>
      </c>
      <c r="G18" s="1029" t="str">
        <f>IF(Datos!E18&lt;&gt;"",Datos!E18,Datos!D18)</f>
        <v>37</v>
      </c>
      <c r="H18" s="226">
        <f>IF(ISNUMBER(IF(D_I="SI",Datos!L18,Datos!L18+Datos!AF18)),IF(D_I="SI",Datos!L18,Datos!L18+Datos!AF18)," - ")</f>
        <v>234</v>
      </c>
      <c r="I18" s="1039" t="str">
        <f>IF(ISNUMBER(Datos!AS18/Datos!BM18),Datos!AS18/Datos!BM18," - ")</f>
        <v xml:space="preserve"> - </v>
      </c>
      <c r="J18" s="1040" t="str">
        <f>IF(ISNUMBER((Datos!BY18+Datos!BZ18)/Datos!CN18),(Datos!BY18+Datos!BZ18)/Datos!CN18," - ")</f>
        <v xml:space="preserve"> - </v>
      </c>
      <c r="K18" s="229">
        <f t="shared" si="3"/>
        <v>-0.18181818181818182</v>
      </c>
      <c r="L18" s="1020">
        <f>IF(ISNUMBER(NºAsuntos!I18/NºAsuntos!G18),(NºAsuntos!I18/NºAsuntos!G18)*11," - ")</f>
        <v>4.484320557491289</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2195</v>
      </c>
      <c r="D19" s="1044">
        <f>SUBTOTAL(9,D15:D18)</f>
        <v>2227</v>
      </c>
      <c r="E19" s="1045">
        <f>SUBTOTAL(9,E15:E18)</f>
        <v>1815</v>
      </c>
      <c r="F19" s="1045">
        <f>SUBTOTAL(9,F15:F18)</f>
        <v>2015</v>
      </c>
      <c r="G19" s="1047" t="str">
        <f ca="1">INDIRECT(CONCATENATE("G",ROW()-1))</f>
        <v>37</v>
      </c>
      <c r="H19" s="1048">
        <f ca="1">SUMIF(G$14:G18,G19,H$14:H18)</f>
        <v>234</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2459</v>
      </c>
      <c r="D20" s="1066">
        <f>SUBTOTAL(9,D9:D19)</f>
        <v>2491</v>
      </c>
      <c r="E20" s="1067">
        <f>SUBTOTAL(9,E9:E19)</f>
        <v>1862</v>
      </c>
      <c r="F20" s="1067">
        <f>SUBTOTAL(9,F9:F19)</f>
        <v>2071</v>
      </c>
      <c r="G20" s="1068"/>
      <c r="H20" s="1069">
        <f ca="1">SUMIF(B9:B19,"TOTAL",H9:H19)</f>
        <v>234</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h7D2/dojTePq3XvE4pSyo3CO6SFt9OJMminYHLihrrJjktGnZ72OLtvoYoq7LzEDtUbf4+fAxwM6DHm2bJD+yw==" saltValue="5T7OAmNVJVmSgrXZTGB+N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N2vEBZ08dfB+C2Q0rkrLpDz/roJdO60iJGoSyQMnGSkzrJfdFhMh/e9D9XUsPirmk32/HSiW4i7hSb4w/3dGQQ==" saltValue="fRfi2HpAoE5tOv1pU3Cp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3066</v>
      </c>
      <c r="J9" s="180">
        <v>1665</v>
      </c>
      <c r="K9" s="180">
        <v>1321</v>
      </c>
      <c r="L9" s="180">
        <v>3410</v>
      </c>
      <c r="M9" s="180">
        <v>575</v>
      </c>
      <c r="N9" s="180">
        <v>518</v>
      </c>
      <c r="O9" s="180">
        <v>703</v>
      </c>
      <c r="P9" s="180">
        <v>606</v>
      </c>
      <c r="Q9" s="180">
        <v>544</v>
      </c>
      <c r="R9" s="180">
        <v>5006</v>
      </c>
      <c r="S9" s="180">
        <v>3313</v>
      </c>
      <c r="T9" s="180">
        <v>2520</v>
      </c>
      <c r="U9" s="180">
        <v>1935</v>
      </c>
      <c r="V9" s="180">
        <v>3905</v>
      </c>
      <c r="W9" s="180">
        <v>800</v>
      </c>
      <c r="X9" s="187">
        <v>459</v>
      </c>
      <c r="Y9" s="190">
        <v>373</v>
      </c>
      <c r="Z9" s="180">
        <v>274</v>
      </c>
      <c r="AA9" s="180">
        <v>243</v>
      </c>
      <c r="AB9" s="180">
        <v>404</v>
      </c>
      <c r="AC9" s="180">
        <v>0</v>
      </c>
      <c r="AD9" s="180">
        <v>0</v>
      </c>
      <c r="AE9" s="180">
        <v>0</v>
      </c>
      <c r="AF9" s="187">
        <v>0</v>
      </c>
      <c r="AG9" s="190">
        <v>255</v>
      </c>
      <c r="AH9" s="180">
        <v>224</v>
      </c>
      <c r="AI9" s="180">
        <v>203</v>
      </c>
      <c r="AJ9" s="191">
        <v>255</v>
      </c>
      <c r="AK9" s="179">
        <v>0</v>
      </c>
      <c r="AL9" s="180">
        <v>0</v>
      </c>
      <c r="AM9" s="180">
        <v>0</v>
      </c>
      <c r="AN9" s="187">
        <v>0</v>
      </c>
      <c r="AO9" s="257">
        <v>5</v>
      </c>
      <c r="AP9" s="153">
        <v>5</v>
      </c>
      <c r="AQ9" s="153">
        <v>5</v>
      </c>
      <c r="AR9" s="192">
        <v>5</v>
      </c>
      <c r="AS9" s="337" t="s">
        <v>763</v>
      </c>
      <c r="AT9" s="194"/>
      <c r="AU9" s="193"/>
      <c r="AV9" s="194"/>
      <c r="AW9" s="193"/>
      <c r="AX9" s="194"/>
      <c r="AY9" s="123">
        <f>IF(ISNUMBER(IF(J_V="SI",S9,S9+AG9)),IF(J_V="SI",S9,S9+AG9)," - ")</f>
        <v>3568</v>
      </c>
      <c r="AZ9" s="123">
        <f>IF(ISNUMBER(IF(J_V="SI",T9,T9+AH9)),IF(J_V="SI",T9,T9+AH9)," - ")</f>
        <v>2744</v>
      </c>
      <c r="BA9" s="124">
        <f>IF(ISNUMBER(IF(J_V="SI",U9,U9+AI9)),IF(J_V="SI",U9,U9+AI9)," - ")</f>
        <v>2138</v>
      </c>
      <c r="BB9" s="124">
        <f>IF(ISNUMBER(IF(J_V="SI",V9,V9+AJ9)),IF(J_V="SI",V9,V9+AJ9)," - ")</f>
        <v>4160</v>
      </c>
      <c r="BC9" s="125">
        <f>IF(ISNUMBER(X9),X9," - ")</f>
        <v>459</v>
      </c>
      <c r="BD9" s="126">
        <f>IF(ISNUMBER(BA9/AZ9),BA9/AZ9," - ")</f>
        <v>0.7791545189504373</v>
      </c>
      <c r="BE9" s="127">
        <f>IF(ISNUMBER(BB9/BA9),BB9/BA9, " - ")</f>
        <v>1.9457436856875585</v>
      </c>
      <c r="BF9" s="127">
        <f>IF(ISNUMBER(BC9/BA9),BC9/BA9, " - ")</f>
        <v>0.2146866230121609</v>
      </c>
      <c r="BG9" s="195">
        <f>IF(ISNUMBER((AY9+AZ9)/BA9),(AY9+AZ9)/BA9," - ")</f>
        <v>2.9522918615528533</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264</v>
      </c>
      <c r="J10" s="180">
        <v>47</v>
      </c>
      <c r="K10" s="180">
        <v>56</v>
      </c>
      <c r="L10" s="180">
        <v>255</v>
      </c>
      <c r="M10" s="180">
        <v>27</v>
      </c>
      <c r="N10" s="180">
        <v>22</v>
      </c>
      <c r="O10" s="180">
        <v>8</v>
      </c>
      <c r="P10" s="180">
        <v>4</v>
      </c>
      <c r="Q10" s="180">
        <v>4</v>
      </c>
      <c r="R10" s="180">
        <v>23</v>
      </c>
      <c r="S10" s="180">
        <v>217</v>
      </c>
      <c r="T10" s="180">
        <v>42</v>
      </c>
      <c r="U10" s="180">
        <v>28</v>
      </c>
      <c r="V10" s="180">
        <v>231</v>
      </c>
      <c r="W10" s="180">
        <v>21</v>
      </c>
      <c r="X10" s="187">
        <v>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3</v>
      </c>
      <c r="AP10" s="154">
        <v>2</v>
      </c>
      <c r="AQ10" s="153">
        <v>2</v>
      </c>
      <c r="AR10" s="154">
        <v>2</v>
      </c>
      <c r="AS10" s="338" t="s">
        <v>757</v>
      </c>
      <c r="AT10" s="191"/>
      <c r="AU10" s="199"/>
      <c r="AV10" s="191"/>
      <c r="AW10" s="199"/>
      <c r="AX10" s="191"/>
      <c r="AY10" s="128">
        <f t="shared" ref="AY10:BC10" si="0">IF(ISNUMBER(S10),S10," - ")</f>
        <v>217</v>
      </c>
      <c r="AZ10" s="129">
        <f t="shared" si="0"/>
        <v>42</v>
      </c>
      <c r="BA10" s="129">
        <f t="shared" si="0"/>
        <v>28</v>
      </c>
      <c r="BB10" s="129">
        <f t="shared" si="0"/>
        <v>231</v>
      </c>
      <c r="BC10" s="125">
        <f t="shared" si="0"/>
        <v>21</v>
      </c>
      <c r="BD10" s="126">
        <f>IF(ISNUMBER(BA10/AZ10),BA10/AZ10," - ")</f>
        <v>0.66666666666666663</v>
      </c>
      <c r="BE10" s="127">
        <f>IF(ISNUMBER(BB10/BA10),BB10/BA10, " - ")</f>
        <v>8.25</v>
      </c>
      <c r="BF10" s="127">
        <f>IF(ISNUMBER(BC10/BA10),BC10/BA10, " - ")</f>
        <v>0.75</v>
      </c>
      <c r="BG10" s="195">
        <f>IF(ISNUMBER((AY10+AZ10)/BA10),(AY10+AZ10)/BA10," - ")</f>
        <v>9.25</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47</v>
      </c>
      <c r="J12" s="182">
        <v>7</v>
      </c>
      <c r="K12" s="182">
        <v>7</v>
      </c>
      <c r="L12" s="182">
        <v>47</v>
      </c>
      <c r="M12" s="182">
        <v>2</v>
      </c>
      <c r="N12" s="182">
        <v>6</v>
      </c>
      <c r="O12" s="180">
        <v>20</v>
      </c>
      <c r="P12" s="182">
        <v>1</v>
      </c>
      <c r="Q12" s="182">
        <v>51</v>
      </c>
      <c r="R12" s="182">
        <v>1728</v>
      </c>
      <c r="S12" s="182">
        <v>82</v>
      </c>
      <c r="T12" s="182">
        <v>8</v>
      </c>
      <c r="U12" s="182">
        <v>15</v>
      </c>
      <c r="V12" s="182">
        <v>75</v>
      </c>
      <c r="W12" s="182">
        <v>2</v>
      </c>
      <c r="X12" s="188">
        <v>8</v>
      </c>
      <c r="Y12" s="190">
        <v>19</v>
      </c>
      <c r="Z12" s="180">
        <v>0</v>
      </c>
      <c r="AA12" s="180">
        <v>0</v>
      </c>
      <c r="AB12" s="180">
        <v>19</v>
      </c>
      <c r="AC12" s="182">
        <v>0</v>
      </c>
      <c r="AD12" s="182">
        <v>0</v>
      </c>
      <c r="AE12" s="182">
        <v>0</v>
      </c>
      <c r="AF12" s="188">
        <v>0</v>
      </c>
      <c r="AG12" s="201">
        <v>27</v>
      </c>
      <c r="AH12" s="182">
        <v>0</v>
      </c>
      <c r="AI12" s="182">
        <v>3</v>
      </c>
      <c r="AJ12" s="202">
        <v>24</v>
      </c>
      <c r="AK12" s="181">
        <v>0</v>
      </c>
      <c r="AL12" s="182">
        <v>0</v>
      </c>
      <c r="AM12" s="182">
        <v>0</v>
      </c>
      <c r="AN12" s="188">
        <v>0</v>
      </c>
      <c r="AO12" s="258">
        <v>0</v>
      </c>
      <c r="AP12" s="154">
        <v>0</v>
      </c>
      <c r="AQ12" s="154">
        <v>0</v>
      </c>
      <c r="AR12" s="153">
        <v>0</v>
      </c>
      <c r="AS12" s="339" t="s">
        <v>766</v>
      </c>
      <c r="AT12" s="202"/>
      <c r="AU12" s="201"/>
      <c r="AV12" s="202"/>
      <c r="AW12" s="201"/>
      <c r="AX12" s="202"/>
      <c r="AY12" s="126">
        <f t="shared" si="1"/>
        <v>109</v>
      </c>
      <c r="AZ12" s="127">
        <f t="shared" si="1"/>
        <v>8</v>
      </c>
      <c r="BA12" s="127">
        <f t="shared" si="1"/>
        <v>18</v>
      </c>
      <c r="BB12" s="127">
        <f t="shared" si="1"/>
        <v>99</v>
      </c>
      <c r="BC12" s="125">
        <f>IF(ISNUMBER(X12),X12," - ")</f>
        <v>8</v>
      </c>
      <c r="BD12" s="126">
        <f t="shared" si="2"/>
        <v>2.25</v>
      </c>
      <c r="BE12" s="127">
        <f t="shared" si="3"/>
        <v>5.5</v>
      </c>
      <c r="BF12" s="127">
        <f t="shared" si="4"/>
        <v>0.44444444444444442</v>
      </c>
      <c r="BG12" s="195">
        <f t="shared" si="5"/>
        <v>6.5</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3377</v>
      </c>
      <c r="J13" s="183">
        <f t="shared" si="6"/>
        <v>1719</v>
      </c>
      <c r="K13" s="183">
        <f t="shared" si="6"/>
        <v>1384</v>
      </c>
      <c r="L13" s="183">
        <f t="shared" si="6"/>
        <v>3712</v>
      </c>
      <c r="M13" s="183">
        <f t="shared" si="6"/>
        <v>604</v>
      </c>
      <c r="N13" s="183">
        <f t="shared" si="6"/>
        <v>546</v>
      </c>
      <c r="O13" s="183">
        <f t="shared" si="6"/>
        <v>731</v>
      </c>
      <c r="P13" s="183">
        <f t="shared" si="6"/>
        <v>611</v>
      </c>
      <c r="Q13" s="183">
        <f t="shared" si="6"/>
        <v>599</v>
      </c>
      <c r="R13" s="183">
        <f t="shared" si="6"/>
        <v>6757</v>
      </c>
      <c r="S13" s="183">
        <f t="shared" si="6"/>
        <v>3612</v>
      </c>
      <c r="T13" s="183">
        <f t="shared" si="6"/>
        <v>2570</v>
      </c>
      <c r="U13" s="183">
        <f t="shared" si="6"/>
        <v>1978</v>
      </c>
      <c r="V13" s="183">
        <f t="shared" si="6"/>
        <v>4211</v>
      </c>
      <c r="W13" s="183">
        <f t="shared" si="6"/>
        <v>823</v>
      </c>
      <c r="X13" s="183">
        <f t="shared" si="6"/>
        <v>474</v>
      </c>
      <c r="Y13" s="183">
        <f t="shared" si="6"/>
        <v>392</v>
      </c>
      <c r="Z13" s="183">
        <f t="shared" si="6"/>
        <v>274</v>
      </c>
      <c r="AA13" s="183">
        <f t="shared" si="6"/>
        <v>243</v>
      </c>
      <c r="AB13" s="183">
        <f t="shared" si="6"/>
        <v>423</v>
      </c>
      <c r="AC13" s="183">
        <f t="shared" si="6"/>
        <v>0</v>
      </c>
      <c r="AD13" s="183">
        <f t="shared" si="6"/>
        <v>0</v>
      </c>
      <c r="AE13" s="183">
        <f t="shared" si="6"/>
        <v>0</v>
      </c>
      <c r="AF13" s="183">
        <f>SUBTOTAL(9,AF9:AF12)</f>
        <v>0</v>
      </c>
      <c r="AG13" s="183">
        <f t="shared" ref="AG13:AT13" si="7">SUBTOTAL(9,AG8:AG12)</f>
        <v>282</v>
      </c>
      <c r="AH13" s="183">
        <f t="shared" si="7"/>
        <v>224</v>
      </c>
      <c r="AI13" s="183">
        <f t="shared" si="7"/>
        <v>206</v>
      </c>
      <c r="AJ13" s="183">
        <f t="shared" si="7"/>
        <v>279</v>
      </c>
      <c r="AK13" s="183">
        <f t="shared" si="7"/>
        <v>0</v>
      </c>
      <c r="AL13" s="183">
        <f t="shared" si="7"/>
        <v>0</v>
      </c>
      <c r="AM13" s="183">
        <f t="shared" si="7"/>
        <v>0</v>
      </c>
      <c r="AN13" s="183">
        <f t="shared" si="7"/>
        <v>0</v>
      </c>
      <c r="AO13" s="183">
        <f t="shared" si="7"/>
        <v>8</v>
      </c>
      <c r="AP13" s="183">
        <f t="shared" si="7"/>
        <v>7</v>
      </c>
      <c r="AQ13" s="183">
        <f t="shared" si="7"/>
        <v>7</v>
      </c>
      <c r="AR13" s="183">
        <f t="shared" si="7"/>
        <v>7</v>
      </c>
      <c r="AS13" s="183">
        <f t="shared" si="7"/>
        <v>0</v>
      </c>
      <c r="AT13" s="183">
        <f t="shared" si="7"/>
        <v>0</v>
      </c>
      <c r="AU13" s="203"/>
      <c r="AV13" s="132"/>
      <c r="AW13" s="203"/>
      <c r="AX13" s="132"/>
      <c r="AY13" s="183">
        <f>SUBTOTAL(9,AY8:AY12)</f>
        <v>3894</v>
      </c>
      <c r="AZ13" s="183">
        <f>SUBTOTAL(9,AZ8:AZ12)</f>
        <v>2794</v>
      </c>
      <c r="BA13" s="183">
        <f>SUBTOTAL(9,BA8:BA12)</f>
        <v>2184</v>
      </c>
      <c r="BB13" s="183">
        <f>SUBTOTAL(9,BB8:BB12)</f>
        <v>4490</v>
      </c>
      <c r="BC13" s="183">
        <f>SUBTOTAL(9,BC8:BC12)</f>
        <v>488</v>
      </c>
      <c r="BD13" s="204">
        <f>IF(ISNUMBER(BA13/AZ13),BA13/AZ13," - ")</f>
        <v>0.78167501789549032</v>
      </c>
      <c r="BE13" s="205">
        <f>IF(ISNUMBER(BB13/BA13),BB13/BA13, " - ")</f>
        <v>2.0558608058608057</v>
      </c>
      <c r="BF13" s="205">
        <f>IF(ISNUMBER(BC13/BA13),BC13/BA13, " - ")</f>
        <v>0.22344322344322345</v>
      </c>
      <c r="BG13" s="206">
        <f>IF(ISNUMBER((AY13+AZ13)/BA13),(AY13+AZ13)/BA13," - ")</f>
        <v>3.062271062271062</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1883</v>
      </c>
      <c r="J15" s="182">
        <v>1293</v>
      </c>
      <c r="K15" s="182">
        <v>1426</v>
      </c>
      <c r="L15" s="182">
        <v>1743</v>
      </c>
      <c r="M15" s="182">
        <v>168</v>
      </c>
      <c r="N15" s="182">
        <v>798</v>
      </c>
      <c r="O15" s="180">
        <v>41</v>
      </c>
      <c r="P15" s="182">
        <v>64</v>
      </c>
      <c r="Q15" s="182">
        <v>83</v>
      </c>
      <c r="R15" s="182">
        <v>373</v>
      </c>
      <c r="S15" s="182">
        <v>1766</v>
      </c>
      <c r="T15" s="182">
        <v>1290</v>
      </c>
      <c r="U15" s="182">
        <v>1216</v>
      </c>
      <c r="V15" s="182">
        <v>1865</v>
      </c>
      <c r="W15" s="182">
        <v>189</v>
      </c>
      <c r="X15" s="188">
        <v>691</v>
      </c>
      <c r="Y15" s="201">
        <v>0</v>
      </c>
      <c r="Z15" s="182">
        <v>0</v>
      </c>
      <c r="AA15" s="182">
        <v>0</v>
      </c>
      <c r="AB15" s="182">
        <v>0</v>
      </c>
      <c r="AC15" s="182">
        <v>0</v>
      </c>
      <c r="AD15" s="182">
        <v>8</v>
      </c>
      <c r="AE15" s="182">
        <v>8</v>
      </c>
      <c r="AF15" s="188">
        <v>0</v>
      </c>
      <c r="AG15" s="201">
        <v>0</v>
      </c>
      <c r="AH15" s="182">
        <v>0</v>
      </c>
      <c r="AI15" s="182">
        <v>0</v>
      </c>
      <c r="AJ15" s="202">
        <v>0</v>
      </c>
      <c r="AK15" s="181">
        <v>8</v>
      </c>
      <c r="AL15" s="182">
        <v>8</v>
      </c>
      <c r="AM15" s="182">
        <v>16</v>
      </c>
      <c r="AN15" s="188">
        <v>0</v>
      </c>
      <c r="AO15" s="258">
        <v>3</v>
      </c>
      <c r="AP15" s="154">
        <v>3</v>
      </c>
      <c r="AQ15" s="154">
        <v>3</v>
      </c>
      <c r="AR15" s="154">
        <v>3</v>
      </c>
      <c r="AS15" s="339" t="s">
        <v>520</v>
      </c>
      <c r="AT15" s="202" t="s">
        <v>327</v>
      </c>
      <c r="AU15" s="201"/>
      <c r="AV15" s="202"/>
      <c r="AW15" s="201"/>
      <c r="AX15" s="202"/>
      <c r="AY15" s="128">
        <f t="shared" ref="AY15:BB17" si="9">IF(ISNUMBER(IF(D_I="SI",S15,S15+AK15)),IF(D_I="SI",S15,S15+AK15)," - ")</f>
        <v>1766</v>
      </c>
      <c r="AZ15" s="129">
        <f t="shared" si="9"/>
        <v>1290</v>
      </c>
      <c r="BA15" s="129">
        <f t="shared" si="9"/>
        <v>1216</v>
      </c>
      <c r="BB15" s="129">
        <f t="shared" si="9"/>
        <v>1865</v>
      </c>
      <c r="BC15" s="125">
        <f>IF(ISNUMBER(W15),W15," - ")</f>
        <v>189</v>
      </c>
      <c r="BD15" s="126">
        <f>IF(ISNUMBER(BA15/AZ15),BA15/AZ15," - ")</f>
        <v>0.94263565891472867</v>
      </c>
      <c r="BE15" s="127">
        <f>IF(ISNUMBER(BB15/BA15),BB15/BA15, " - ")</f>
        <v>1.533717105263158</v>
      </c>
      <c r="BF15" s="127">
        <f>IF(ISNUMBER(BC15/BA15),BC15/BA15, " - ")</f>
        <v>0.15542763157894737</v>
      </c>
      <c r="BG15" s="195">
        <f t="shared" ref="BG15:BG17" si="10">IF(ISNUMBER((AY15+AZ15)/BA15),(AY15+AZ15)/BA15," - ")</f>
        <v>2.513157894736842</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33</v>
      </c>
      <c r="J17" s="182">
        <v>0</v>
      </c>
      <c r="K17" s="182">
        <v>15</v>
      </c>
      <c r="L17" s="182">
        <v>18</v>
      </c>
      <c r="M17" s="182">
        <v>0</v>
      </c>
      <c r="N17" s="182">
        <v>1</v>
      </c>
      <c r="O17" s="180">
        <v>0</v>
      </c>
      <c r="P17" s="182">
        <v>0</v>
      </c>
      <c r="Q17" s="182">
        <v>0</v>
      </c>
      <c r="R17" s="182">
        <v>23</v>
      </c>
      <c r="S17" s="182">
        <v>79</v>
      </c>
      <c r="T17" s="182">
        <v>2</v>
      </c>
      <c r="U17" s="182">
        <v>10</v>
      </c>
      <c r="V17" s="182">
        <v>72</v>
      </c>
      <c r="W17" s="182">
        <v>0</v>
      </c>
      <c r="X17" s="188">
        <v>1</v>
      </c>
      <c r="Y17" s="201">
        <v>0</v>
      </c>
      <c r="Z17" s="182">
        <v>0</v>
      </c>
      <c r="AA17" s="182">
        <v>0</v>
      </c>
      <c r="AB17" s="182">
        <v>0</v>
      </c>
      <c r="AC17" s="182">
        <v>0</v>
      </c>
      <c r="AD17" s="182">
        <v>0</v>
      </c>
      <c r="AE17" s="182">
        <v>0</v>
      </c>
      <c r="AF17" s="188">
        <v>0</v>
      </c>
      <c r="AG17" s="201">
        <v>0</v>
      </c>
      <c r="AH17" s="182">
        <v>0</v>
      </c>
      <c r="AI17" s="182">
        <v>0</v>
      </c>
      <c r="AJ17" s="202">
        <v>0</v>
      </c>
      <c r="AK17" s="181">
        <v>0</v>
      </c>
      <c r="AL17" s="182">
        <v>1</v>
      </c>
      <c r="AM17" s="182">
        <v>0</v>
      </c>
      <c r="AN17" s="188">
        <v>1</v>
      </c>
      <c r="AO17" s="258">
        <v>0</v>
      </c>
      <c r="AP17" s="154">
        <v>0</v>
      </c>
      <c r="AQ17" s="154">
        <v>0</v>
      </c>
      <c r="AR17" s="154">
        <v>0</v>
      </c>
      <c r="AS17" s="339" t="s">
        <v>486</v>
      </c>
      <c r="AT17" s="202"/>
      <c r="AU17" s="201"/>
      <c r="AV17" s="202"/>
      <c r="AW17" s="201"/>
      <c r="AX17" s="202"/>
      <c r="AY17" s="126">
        <f t="shared" si="9"/>
        <v>79</v>
      </c>
      <c r="AZ17" s="127">
        <f t="shared" si="9"/>
        <v>2</v>
      </c>
      <c r="BA17" s="127">
        <f t="shared" si="9"/>
        <v>10</v>
      </c>
      <c r="BB17" s="127">
        <f t="shared" si="9"/>
        <v>72</v>
      </c>
      <c r="BC17" s="125">
        <f>IF(ISNUMBER(W17),W17," - ")</f>
        <v>0</v>
      </c>
      <c r="BD17" s="126">
        <f t="shared" ref="BD17" si="16">IF(ISNUMBER(BA17/AZ17),BA17/AZ17," - ")</f>
        <v>5</v>
      </c>
      <c r="BE17" s="127">
        <f t="shared" ref="BE17" si="17">IF(ISNUMBER(BB17/BA17),BB17/BA17, " - ")</f>
        <v>7.2</v>
      </c>
      <c r="BF17" s="127">
        <f t="shared" ref="BF17" si="18">IF(ISNUMBER(BC17/BA17),BC17/BA17, " - ")</f>
        <v>0</v>
      </c>
      <c r="BG17" s="195">
        <f t="shared" si="10"/>
        <v>8.1</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311</v>
      </c>
      <c r="J18" s="182">
        <v>522</v>
      </c>
      <c r="K18" s="182">
        <v>574</v>
      </c>
      <c r="L18" s="182">
        <v>234</v>
      </c>
      <c r="M18" s="182">
        <v>60</v>
      </c>
      <c r="N18" s="182">
        <v>250</v>
      </c>
      <c r="O18" s="182">
        <v>0</v>
      </c>
      <c r="P18" s="182">
        <v>6</v>
      </c>
      <c r="Q18" s="182">
        <v>0</v>
      </c>
      <c r="R18" s="182">
        <v>24</v>
      </c>
      <c r="S18" s="182">
        <v>174</v>
      </c>
      <c r="T18" s="182">
        <v>475</v>
      </c>
      <c r="U18" s="182">
        <v>469</v>
      </c>
      <c r="V18" s="182">
        <v>181</v>
      </c>
      <c r="W18" s="182">
        <v>70</v>
      </c>
      <c r="X18" s="188">
        <v>182</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3</v>
      </c>
      <c r="AP18" s="154">
        <v>2</v>
      </c>
      <c r="AQ18" s="153">
        <v>2</v>
      </c>
      <c r="AR18" s="154">
        <v>2</v>
      </c>
      <c r="AS18" s="338" t="s">
        <v>880</v>
      </c>
      <c r="AT18" s="208"/>
      <c r="AU18" s="199"/>
      <c r="AV18" s="208"/>
      <c r="AW18" s="199"/>
      <c r="AX18" s="208"/>
      <c r="AY18" s="128">
        <f t="shared" ref="AY18:BB18" si="19">IF(ISNUMBER(S18),S18," - ")</f>
        <v>174</v>
      </c>
      <c r="AZ18" s="129">
        <f t="shared" si="19"/>
        <v>475</v>
      </c>
      <c r="BA18" s="129">
        <f t="shared" si="19"/>
        <v>469</v>
      </c>
      <c r="BB18" s="129">
        <f t="shared" si="19"/>
        <v>181</v>
      </c>
      <c r="BC18" s="125">
        <f>IF(ISNUMBER(W18),W18," - ")</f>
        <v>70</v>
      </c>
      <c r="BD18" s="126">
        <f>IF(ISNUMBER(BA18/AZ18),BA18/AZ18," - ")</f>
        <v>0.98736842105263156</v>
      </c>
      <c r="BE18" s="127">
        <f>IF(ISNUMBER(BB18/BA18),BB18/BA18, " - ")</f>
        <v>0.38592750533049042</v>
      </c>
      <c r="BF18" s="127">
        <f>IF(ISNUMBER(BC18/BA18),BC18/BA18, " - ")</f>
        <v>0.14925373134328357</v>
      </c>
      <c r="BG18" s="195">
        <f>IF(ISNUMBER((AY18+AZ18)/BA18),(AY18+AZ18)/BA18," - ")</f>
        <v>1.3837953091684434</v>
      </c>
      <c r="BH18" s="154">
        <v>2</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2227</v>
      </c>
      <c r="J19" s="183">
        <f t="shared" si="20"/>
        <v>1815</v>
      </c>
      <c r="K19" s="183">
        <f t="shared" si="20"/>
        <v>2015</v>
      </c>
      <c r="L19" s="183">
        <f t="shared" si="20"/>
        <v>1995</v>
      </c>
      <c r="M19" s="183">
        <f t="shared" si="20"/>
        <v>228</v>
      </c>
      <c r="N19" s="183">
        <f t="shared" si="20"/>
        <v>1049</v>
      </c>
      <c r="O19" s="183">
        <f t="shared" si="20"/>
        <v>41</v>
      </c>
      <c r="P19" s="183">
        <f t="shared" si="20"/>
        <v>70</v>
      </c>
      <c r="Q19" s="183">
        <f t="shared" si="20"/>
        <v>83</v>
      </c>
      <c r="R19" s="183">
        <f t="shared" si="20"/>
        <v>420</v>
      </c>
      <c r="S19" s="183">
        <f t="shared" si="20"/>
        <v>2019</v>
      </c>
      <c r="T19" s="183">
        <f t="shared" si="20"/>
        <v>1767</v>
      </c>
      <c r="U19" s="183">
        <f t="shared" si="20"/>
        <v>1695</v>
      </c>
      <c r="V19" s="183">
        <f t="shared" si="20"/>
        <v>2118</v>
      </c>
      <c r="W19" s="183">
        <f t="shared" si="20"/>
        <v>259</v>
      </c>
      <c r="X19" s="183">
        <f t="shared" si="20"/>
        <v>874</v>
      </c>
      <c r="Y19" s="183">
        <f t="shared" si="20"/>
        <v>0</v>
      </c>
      <c r="Z19" s="183">
        <f t="shared" si="20"/>
        <v>0</v>
      </c>
      <c r="AA19" s="183">
        <f t="shared" si="20"/>
        <v>0</v>
      </c>
      <c r="AB19" s="183">
        <f t="shared" si="20"/>
        <v>0</v>
      </c>
      <c r="AC19" s="183">
        <f t="shared" si="20"/>
        <v>0</v>
      </c>
      <c r="AD19" s="183">
        <f t="shared" si="20"/>
        <v>8</v>
      </c>
      <c r="AE19" s="183">
        <f t="shared" si="20"/>
        <v>8</v>
      </c>
      <c r="AF19" s="183">
        <f t="shared" si="20"/>
        <v>0</v>
      </c>
      <c r="AG19" s="183">
        <f t="shared" si="20"/>
        <v>0</v>
      </c>
      <c r="AH19" s="183">
        <f t="shared" si="20"/>
        <v>0</v>
      </c>
      <c r="AI19" s="183">
        <f t="shared" si="20"/>
        <v>0</v>
      </c>
      <c r="AJ19" s="183">
        <f t="shared" si="20"/>
        <v>0</v>
      </c>
      <c r="AK19" s="183">
        <f t="shared" si="20"/>
        <v>8</v>
      </c>
      <c r="AL19" s="183">
        <f t="shared" si="20"/>
        <v>9</v>
      </c>
      <c r="AM19" s="183">
        <f t="shared" si="20"/>
        <v>16</v>
      </c>
      <c r="AN19" s="183">
        <f t="shared" si="20"/>
        <v>1</v>
      </c>
      <c r="AO19" s="183">
        <f t="shared" si="20"/>
        <v>6</v>
      </c>
      <c r="AP19" s="183">
        <f t="shared" si="20"/>
        <v>5</v>
      </c>
      <c r="AQ19" s="183">
        <f t="shared" si="20"/>
        <v>5</v>
      </c>
      <c r="AR19" s="183">
        <f t="shared" si="20"/>
        <v>5</v>
      </c>
      <c r="AS19" s="183">
        <f t="shared" si="20"/>
        <v>0</v>
      </c>
      <c r="AT19" s="183">
        <f t="shared" si="20"/>
        <v>0</v>
      </c>
      <c r="AU19" s="203"/>
      <c r="AV19" s="132"/>
      <c r="AW19" s="203"/>
      <c r="AX19" s="132"/>
      <c r="AY19" s="183">
        <f>SUBTOTAL(9,AY14:AY18)</f>
        <v>2019</v>
      </c>
      <c r="AZ19" s="183">
        <f>SUBTOTAL(9,AZ14:AZ18)</f>
        <v>1767</v>
      </c>
      <c r="BA19" s="183">
        <f>SUBTOTAL(9,BA14:BA18)</f>
        <v>1695</v>
      </c>
      <c r="BB19" s="183">
        <f>SUBTOTAL(9,BB14:BB18)</f>
        <v>2118</v>
      </c>
      <c r="BC19" s="183">
        <f>SUBTOTAL(9,BC14:BC18)</f>
        <v>259</v>
      </c>
      <c r="BD19" s="204">
        <f>IF(ISNUMBER(BA19/AZ19),BA19/AZ19," - ")</f>
        <v>0.95925297113752117</v>
      </c>
      <c r="BE19" s="205">
        <f>IF(ISNUMBER(BB19/BA19),BB19/BA19, " - ")</f>
        <v>1.2495575221238937</v>
      </c>
      <c r="BF19" s="205">
        <f>IF(ISNUMBER(BC19/BA19),BC19/BA19, " - ")</f>
        <v>0.15280235988200591</v>
      </c>
      <c r="BG19" s="206">
        <f>IF(ISNUMBER((AY19+AZ19)/BA19),(AY19+AZ19)/BA19," - ")</f>
        <v>2.2336283185840706</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5604</v>
      </c>
      <c r="J20" s="134">
        <f t="shared" si="23"/>
        <v>3534</v>
      </c>
      <c r="K20" s="134">
        <f t="shared" si="23"/>
        <v>3399</v>
      </c>
      <c r="L20" s="134">
        <f t="shared" si="23"/>
        <v>5707</v>
      </c>
      <c r="M20" s="134">
        <f t="shared" si="23"/>
        <v>832</v>
      </c>
      <c r="N20" s="134">
        <f t="shared" si="23"/>
        <v>1595</v>
      </c>
      <c r="O20" s="134">
        <f t="shared" si="23"/>
        <v>772</v>
      </c>
      <c r="P20" s="134">
        <f t="shared" si="23"/>
        <v>681</v>
      </c>
      <c r="Q20" s="134">
        <f t="shared" si="23"/>
        <v>682</v>
      </c>
      <c r="R20" s="134">
        <f t="shared" si="23"/>
        <v>7177</v>
      </c>
      <c r="S20" s="134">
        <f t="shared" si="23"/>
        <v>5631</v>
      </c>
      <c r="T20" s="134">
        <f t="shared" si="23"/>
        <v>4337</v>
      </c>
      <c r="U20" s="134">
        <f t="shared" si="23"/>
        <v>3673</v>
      </c>
      <c r="V20" s="134">
        <f t="shared" si="23"/>
        <v>6329</v>
      </c>
      <c r="W20" s="134">
        <f t="shared" si="23"/>
        <v>1082</v>
      </c>
      <c r="X20" s="134">
        <f t="shared" si="23"/>
        <v>1348</v>
      </c>
      <c r="Y20" s="134">
        <f t="shared" si="23"/>
        <v>392</v>
      </c>
      <c r="Z20" s="134">
        <f t="shared" si="23"/>
        <v>274</v>
      </c>
      <c r="AA20" s="134">
        <f t="shared" si="23"/>
        <v>243</v>
      </c>
      <c r="AB20" s="134">
        <f t="shared" si="23"/>
        <v>423</v>
      </c>
      <c r="AC20" s="134">
        <f t="shared" si="23"/>
        <v>0</v>
      </c>
      <c r="AD20" s="134">
        <f t="shared" si="23"/>
        <v>8</v>
      </c>
      <c r="AE20" s="134">
        <f t="shared" si="23"/>
        <v>8</v>
      </c>
      <c r="AF20" s="134">
        <f t="shared" si="23"/>
        <v>0</v>
      </c>
      <c r="AG20" s="134">
        <f t="shared" si="23"/>
        <v>282</v>
      </c>
      <c r="AH20" s="134">
        <f t="shared" si="23"/>
        <v>224</v>
      </c>
      <c r="AI20" s="134">
        <f t="shared" si="23"/>
        <v>206</v>
      </c>
      <c r="AJ20" s="134">
        <f t="shared" si="23"/>
        <v>279</v>
      </c>
      <c r="AK20" s="134">
        <f t="shared" si="23"/>
        <v>8</v>
      </c>
      <c r="AL20" s="134">
        <f t="shared" si="23"/>
        <v>9</v>
      </c>
      <c r="AM20" s="134">
        <f t="shared" si="23"/>
        <v>16</v>
      </c>
      <c r="AN20" s="209">
        <f t="shared" si="23"/>
        <v>1</v>
      </c>
      <c r="AO20" s="210">
        <v>11</v>
      </c>
      <c r="AP20" s="210">
        <v>10</v>
      </c>
      <c r="AQ20" s="210">
        <v>10</v>
      </c>
      <c r="AR20" s="210">
        <v>10</v>
      </c>
      <c r="AS20" s="152">
        <f t="shared" si="23"/>
        <v>0</v>
      </c>
      <c r="AT20" s="152">
        <f t="shared" si="23"/>
        <v>0</v>
      </c>
      <c r="AU20" s="210"/>
      <c r="AV20" s="211"/>
      <c r="AW20" s="210"/>
      <c r="AX20" s="211"/>
      <c r="AY20" s="133">
        <f>SUBTOTAL(9,AY9:AY19)</f>
        <v>5913</v>
      </c>
      <c r="AZ20" s="134">
        <f>SUBTOTAL(9,AZ9:AZ19)</f>
        <v>4561</v>
      </c>
      <c r="BA20" s="134">
        <f>SUBTOTAL(9,BA9:BA19)</f>
        <v>3879</v>
      </c>
      <c r="BB20" s="134">
        <f>SUBTOTAL(9,BB9:BB19)</f>
        <v>6608</v>
      </c>
      <c r="BC20" s="135">
        <f>SUBTOTAL(9,BC9:BC19)</f>
        <v>747</v>
      </c>
      <c r="BD20" s="212">
        <f>IF(ISNUMBER(BA20/AZ20),BA20/AZ20," - ")</f>
        <v>0.85047138785354093</v>
      </c>
      <c r="BE20" s="209">
        <f>IF(ISNUMBER(BB20/BA20),BB20/BA20, " - ")</f>
        <v>1.7035318381026037</v>
      </c>
      <c r="BF20" s="209">
        <f>IF(ISNUMBER(BC20/BA20),BC20/BA20, " - ")</f>
        <v>0.1925754060324826</v>
      </c>
      <c r="BG20" s="135">
        <f>IF(ISNUMBER((AY20+AZ20)/BA20),(AY20+AZ20)/BA20," - ")</f>
        <v>2.7001804588811549</v>
      </c>
      <c r="BH20" s="210">
        <f>SUBTOTAL(9,BH9:BH19)</f>
        <v>12</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lWyjdjMG0Zilt/yM7HXbwHYvr/YlMTTsrDLkTCyLSsDXXfKDThXrsPXOygVCcZCycGv0gJWQgUNQ7aTlzXjsyA==" saltValue="vLNCxz9sxyatlw7pAzTpE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bnrffHNVKXYDJMgMeKL3KJ1Y/tX8XovRVjA+N4RKVo7IOcFjpyTdbHCTEeY4jcTGtoMfgs33MLtnesSSPqp/Og==" saltValue="iTxCPnjEucduGLfF6PFh9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EXTREMADURA</v>
      </c>
    </row>
    <row r="2" spans="1:78" ht="16.5" customHeight="1">
      <c r="C2" s="1263" t="str">
        <f>Criterios!A10 &amp;"  "&amp;Criterios!B10 &amp; "  " &amp; IF(NOT(ISBLANK(Criterios!A11)),Criterios!A11 &amp;"  "&amp;Criterios!B11,"")</f>
        <v>Provincias  CACERES  Resumenes por Partidos Judiciales  CACERES</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5</v>
      </c>
      <c r="B9" s="1275" t="s">
        <v>247</v>
      </c>
      <c r="C9" s="1200" t="str">
        <f>Datos!A9</f>
        <v>Sección Civil del T.I</v>
      </c>
      <c r="D9" s="1276"/>
      <c r="E9" s="1226">
        <f>IF(ISNUMBER(Datos!AQ9),Datos!AQ9," - ")</f>
        <v>5</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274</v>
      </c>
      <c r="O9" s="1247"/>
      <c r="P9" s="1247"/>
      <c r="Q9" s="1215">
        <f>IF(ISNUMBER(Datos!P9),Datos!P9,0)</f>
        <v>606</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544</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404</v>
      </c>
      <c r="AI9" s="1247" t="str">
        <f>IF(ISNUMBER(Datos!CD9),Datos!CD9,"-")</f>
        <v>-</v>
      </c>
      <c r="AJ9" s="1247" t="str">
        <f>IF(ISNUMBER(Datos!EN9),Datos!EN9," - ")</f>
        <v xml:space="preserve"> - </v>
      </c>
      <c r="AK9" s="1247"/>
      <c r="AL9" s="1258"/>
      <c r="AM9" s="1248">
        <f>IF(ISNUMBER(Datos!R9),Datos!R9," - ")</f>
        <v>5006</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575</v>
      </c>
      <c r="BD9" s="1218">
        <f>IF(ISNUMBER(Datos!N9),Datos!N9," - ")</f>
        <v>518</v>
      </c>
      <c r="BE9" s="1218" t="str">
        <f>IF(ISNUMBER(Datos!BW9),Datos!BW9," - ")</f>
        <v xml:space="preserve"> - </v>
      </c>
      <c r="BF9" s="1217" t="str">
        <f>IF(ISNUMBER(Datos!BX9),Datos!BX9," - ")</f>
        <v xml:space="preserve"> - </v>
      </c>
      <c r="BG9" s="1223">
        <f>IF(ISNUMBER(IF(J_V="SI",Datos!K9/Datos!J9,(Datos!K9+Datos!AA9)/(Datos!J9+Datos!Z9))),IF(J_V="SI",Datos!K9/Datos!J9,(Datos!K9+Datos!AA9)/(Datos!J9+Datos!Z9))," - ")</f>
        <v>0.80660134089736979</v>
      </c>
      <c r="BH9" s="1226">
        <f>IF(ISNUMBER(((IF(J_V="SI",Datos!L9/Datos!K9,(Datos!L9+Datos!AB9)/(Datos!K9+Datos!AA9)))*11)/factor_trimestre),((IF(J_V="SI",Datos!L9/Datos!K9,(Datos!L9+Datos!AB9)/(Datos!K9+Datos!AA9)))*11)/factor_trimestre," - ")</f>
        <v>7.3158567774936065</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1.2540453074433657E-2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3</v>
      </c>
      <c r="B10" s="1280" t="s">
        <v>247</v>
      </c>
      <c r="C10" s="1193" t="str">
        <f>Datos!A10</f>
        <v>Sección De Violencia sobre la Mujer del TI</v>
      </c>
      <c r="D10" s="1281"/>
      <c r="E10" s="1226">
        <f>IF(ISNUMBER(Datos!AQ10),Datos!AQ10," - ")</f>
        <v>2</v>
      </c>
      <c r="F10" s="1214">
        <f>IF(ISNUMBER(Datos!L10+Datos!K10-Datos!J10),Datos!L10+Datos!K10-Datos!J10," - ")</f>
        <v>264</v>
      </c>
      <c r="G10" s="1246">
        <f>IF(ISNUMBER(Datos!I10),Datos!I10," - ")</f>
        <v>264</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4</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56</v>
      </c>
      <c r="AC10" s="1215">
        <f>IF(ISNUMBER(Datos!Q10),Datos!Q10," - ")</f>
        <v>4</v>
      </c>
      <c r="AD10" s="1247"/>
      <c r="AE10" s="1262"/>
      <c r="AF10" s="1245">
        <f>IF(ISNUMBER(Datos!L10),Datos!L10,"-")</f>
        <v>255</v>
      </c>
      <c r="AG10" s="1247"/>
      <c r="AH10" s="1247"/>
      <c r="AI10" s="1247"/>
      <c r="AJ10" s="1247"/>
      <c r="AK10" s="1247"/>
      <c r="AL10" s="1258"/>
      <c r="AM10" s="1248">
        <f>IF(ISNUMBER(Datos!R10),Datos!R10," - ")</f>
        <v>23</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27</v>
      </c>
      <c r="BD10" s="1218">
        <f>IF(ISNUMBER(Datos!N10),Datos!N10," - ")</f>
        <v>22</v>
      </c>
      <c r="BE10" s="1218" t="str">
        <f>IF(ISNUMBER(Datos!BW10),Datos!BW10," - ")</f>
        <v xml:space="preserve"> - </v>
      </c>
      <c r="BF10" s="1217" t="str">
        <f>IF(ISNUMBER(Datos!BX10),Datos!BX10," - ")</f>
        <v xml:space="preserve"> - </v>
      </c>
      <c r="BG10" s="1223">
        <f>IF(ISNUMBER(Datos!K10/Datos!J10),Datos!K10/Datos!J10," - ")</f>
        <v>1.1914893617021276</v>
      </c>
      <c r="BH10" s="1226">
        <f>IF(ISNUMBER(((Datos!L10/Datos!K10)*11)/factor_trimestre),((Datos!L10/Datos!K10)*11)/factor_trimestre," - ")</f>
        <v>13.660714285714286</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0</v>
      </c>
      <c r="O12" s="1247"/>
      <c r="P12" s="1247"/>
      <c r="Q12" s="1215">
        <f>IF(ISNUMBER(Datos!P12),Datos!P12,0)</f>
        <v>1</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51</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19</v>
      </c>
      <c r="AI12" s="1247" t="str">
        <f>IF(ISNUMBER(Datos!CD12),Datos!CD12,"-")</f>
        <v>-</v>
      </c>
      <c r="AJ12" s="1247" t="str">
        <f>IF(ISNUMBER(Datos!EN12),Datos!EN12," - ")</f>
        <v xml:space="preserve"> - </v>
      </c>
      <c r="AK12" s="1247"/>
      <c r="AL12" s="1258"/>
      <c r="AM12" s="1248">
        <f>IF(ISNUMBER(Datos!R12),Datos!R12," - ")</f>
        <v>1728</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v>
      </c>
      <c r="BD12" s="1218">
        <f>IF(ISNUMBER(Datos!N12),Datos!N12," - ")</f>
        <v>6</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v>
      </c>
      <c r="BH12" s="1226">
        <f>IF(ISNUMBER(((IF(J_V="SI",Datos!L12/Datos!K12,(Datos!L12+Datos!AB12)/(Datos!K12+Datos!AA12)))*11)/factor_trimestre),((IF(J_V="SI",Datos!L12/Datos!K12,(Datos!L12+Datos!AB12)/(Datos!K12+Datos!AA12)))*11)/factor_trimestre," - ")</f>
        <v>28.285714285714288</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-2.81214848143982E-2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7</v>
      </c>
      <c r="F13" s="1391">
        <f t="shared" si="0"/>
        <v>264</v>
      </c>
      <c r="G13" s="1391">
        <f t="shared" si="0"/>
        <v>264</v>
      </c>
      <c r="H13" s="1392">
        <f t="shared" si="0"/>
        <v>0</v>
      </c>
      <c r="I13" s="1391">
        <f t="shared" si="0"/>
        <v>0</v>
      </c>
      <c r="J13" s="1383">
        <f t="shared" si="0"/>
        <v>0</v>
      </c>
      <c r="K13" s="1383">
        <f t="shared" si="0"/>
        <v>0</v>
      </c>
      <c r="L13" s="1392">
        <f t="shared" si="0"/>
        <v>0</v>
      </c>
      <c r="M13" s="1392">
        <f t="shared" si="0"/>
        <v>0</v>
      </c>
      <c r="N13" s="1392">
        <f t="shared" si="0"/>
        <v>274</v>
      </c>
      <c r="O13" s="1393">
        <f t="shared" si="0"/>
        <v>0</v>
      </c>
      <c r="P13" s="1393">
        <f t="shared" si="0"/>
        <v>0</v>
      </c>
      <c r="Q13" s="1392">
        <f t="shared" si="0"/>
        <v>611</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56</v>
      </c>
      <c r="AC13" s="1392">
        <f t="shared" si="1"/>
        <v>599</v>
      </c>
      <c r="AD13" s="1392">
        <f t="shared" si="1"/>
        <v>0</v>
      </c>
      <c r="AE13" s="1392">
        <f t="shared" si="1"/>
        <v>0</v>
      </c>
      <c r="AF13" s="1392">
        <f t="shared" si="1"/>
        <v>255</v>
      </c>
      <c r="AG13" s="1392">
        <f t="shared" si="1"/>
        <v>0</v>
      </c>
      <c r="AH13" s="1392">
        <f t="shared" si="1"/>
        <v>423</v>
      </c>
      <c r="AI13" s="1392">
        <f t="shared" si="1"/>
        <v>0</v>
      </c>
      <c r="AJ13" s="1392">
        <f t="shared" si="1"/>
        <v>0</v>
      </c>
      <c r="AK13" s="1392">
        <f t="shared" si="1"/>
        <v>0</v>
      </c>
      <c r="AL13" s="1392">
        <f t="shared" si="1"/>
        <v>0</v>
      </c>
      <c r="AM13" s="1392">
        <f t="shared" si="1"/>
        <v>6757</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604</v>
      </c>
      <c r="BD13" s="1392">
        <f t="shared" si="1"/>
        <v>546</v>
      </c>
      <c r="BE13" s="1392">
        <f t="shared" si="1"/>
        <v>0</v>
      </c>
      <c r="BF13" s="1392">
        <f t="shared" si="1"/>
        <v>0</v>
      </c>
      <c r="BG13" s="1392">
        <f>IF(ISNUMBER(Datos!K13/Datos!J13),Datos!K13/Datos!J13," - ")</f>
        <v>0.80511925538103546</v>
      </c>
      <c r="BH13" s="1396">
        <f>IF(ISNUMBER(((Datos!L13/Datos!K13)*11)/factor_trimestre),((Datos!L13/Datos!K13)*11)/factor_trimestre," - ")</f>
        <v>8.0462427745664744</v>
      </c>
      <c r="BI13" s="1392">
        <f>IF(ISNUMBER('Resol  Asuntos'!D13/NºAsuntos!G13),'Resol  Asuntos'!D13/NºAsuntos!G13," - ")</f>
        <v>0.37123540258143822</v>
      </c>
      <c r="BJ13" s="1392" t="str">
        <f>IF(ISNUMBER(Datos!CI13/Datos!CJ13),Datos!CI13/Datos!CJ13," - ")</f>
        <v xml:space="preserve"> - </v>
      </c>
      <c r="BK13" s="1392">
        <f>SUBTOTAL(9,BK8:BK12)</f>
        <v>0</v>
      </c>
      <c r="BL13" s="1392">
        <f>IF(ISNUMBER((I13-AB13+L13)/(F13)),(I13-AB13+L13)/(F13)," - ")</f>
        <v>-0.21212121212121213</v>
      </c>
      <c r="BM13" s="1397">
        <f>SUBTOTAL(9,BM9:BM12)</f>
        <v>-1.5581031739964543E-2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3</v>
      </c>
      <c r="B15" s="1331" t="s">
        <v>397</v>
      </c>
      <c r="C15" s="1337" t="str">
        <f>Datos!A15</f>
        <v xml:space="preserve">Seccion Instruccion Del T.I.                   </v>
      </c>
      <c r="D15" s="1338"/>
      <c r="E15" s="1435">
        <f>IF(ISNUMBER(Datos!AQ15),Datos!AQ15," - ")</f>
        <v>3</v>
      </c>
      <c r="F15" s="1332">
        <f>IF(ISNUMBER(AF15+AB15-Datos!J15-L15),AF15+AB15-Datos!J15-L15," - ")</f>
        <v>1876</v>
      </c>
      <c r="G15" s="1335">
        <f>IF(ISNUMBER(IF(D_I="SI",Datos!I15,Datos!I15+Datos!AC15)),IF(D_I="SI",Datos!I15,Datos!I15+Datos!AC15)," - ")</f>
        <v>1883</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64</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1426</v>
      </c>
      <c r="AC15" s="1215">
        <f>IF(ISNUMBER(Datos!Q15),Datos!Q15," - ")</f>
        <v>83</v>
      </c>
      <c r="AD15" s="1247"/>
      <c r="AE15" s="1262"/>
      <c r="AF15" s="1333">
        <f>IF(ISNUMBER(IF(D_I="SI",Datos!L15,Datos!L15+Datos!AF15)),IF(D_I="SI",Datos!L15,Datos!L15+Datos!AF15)," - ")</f>
        <v>1743</v>
      </c>
      <c r="AG15" s="1247"/>
      <c r="AH15" s="1247"/>
      <c r="AI15" s="1247"/>
      <c r="AJ15" s="1247"/>
      <c r="AK15" s="1247"/>
      <c r="AL15" s="1258"/>
      <c r="AM15" s="1248">
        <f>IF(ISNUMBER(Datos!R15),Datos!R15," - ")</f>
        <v>373</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168</v>
      </c>
      <c r="BD15" s="1218">
        <f>IF(ISNUMBER(Datos!N15),Datos!N15," - ")</f>
        <v>798</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1.102861562258314</v>
      </c>
      <c r="BH15" s="1226">
        <f>IF(ISNUMBER(((IF(D_I="SI",Datos!L15/Datos!K15,(Datos!L15+Datos!AF15)/(Datos!K15+Datos!AE15)))*11)/factor_trimestre),((IF(D_I="SI",Datos!L15/Datos!K15,(Datos!L15+Datos!AF15)/(Datos!K15+Datos!AE15)))*11)/factor_trimestre," - ")</f>
        <v>3.6669004207573637</v>
      </c>
      <c r="BI15" s="1223">
        <f>IF(ISNUMBER('Resol  Asuntos'!D15/NºAsuntos!G15),'Resol  Asuntos'!D15/NºAsuntos!G15," - ")</f>
        <v>0.11781206171107994</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f>IF(ISNUMBER(AF17+AB17-Datos!J17-L17),AF17+AB17-Datos!J17-L17," - ")</f>
        <v>33</v>
      </c>
      <c r="G17" s="1335">
        <f>IF(ISNUMBER(IF(D_I="SI",Datos!I17,Datos!I17+Datos!AC17)),IF(D_I="SI",Datos!I17,Datos!I17+Datos!AC17)," - ")</f>
        <v>33</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15</v>
      </c>
      <c r="AC17" s="1215">
        <f>IF(ISNUMBER(Datos!Q17),Datos!Q17," - ")</f>
        <v>0</v>
      </c>
      <c r="AD17" s="1247"/>
      <c r="AE17" s="1262"/>
      <c r="AF17" s="1333">
        <f>IF(ISNUMBER(IF(D_I="SI",Datos!L17,Datos!L17+Datos!AF17)),IF(D_I="SI",Datos!L17,Datos!L17+Datos!AF17)," - ")</f>
        <v>18</v>
      </c>
      <c r="AG17" s="1247"/>
      <c r="AH17" s="1247"/>
      <c r="AI17" s="1247"/>
      <c r="AJ17" s="1247"/>
      <c r="AK17" s="1247"/>
      <c r="AL17" s="1258"/>
      <c r="AM17" s="1248">
        <f>IF(ISNUMBER(Datos!R17),Datos!R17," - ")</f>
        <v>23</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0</v>
      </c>
      <c r="BD17" s="1218">
        <f>IF(ISNUMBER(Datos!N17),Datos!N17," - ")</f>
        <v>1</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f>IF(ISNUMBER(((IF(D_I="SI",Datos!L17/Datos!K17,(Datos!L17+Datos!AF17)/(Datos!K17+Datos!AE17)))*11)/factor_trimestre),((IF(D_I="SI",Datos!L17/Datos!K17,(Datos!L17+Datos!AF17)/(Datos!K17+Datos!AE17)))*11)/factor_trimestre," - ")</f>
        <v>3.6</v>
      </c>
      <c r="BI17" s="1223">
        <f>IF(ISNUMBER('Resol  Asuntos'!D17/NºAsuntos!G17),'Resol  Asuntos'!D17/NºAsuntos!G17," - ")</f>
        <v>0</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3</v>
      </c>
      <c r="B18" s="1280" t="s">
        <v>397</v>
      </c>
      <c r="C18" s="1193" t="str">
        <f>Datos!A18</f>
        <v>Sección De Violencia sobre la Mujer del TI</v>
      </c>
      <c r="D18" s="1281"/>
      <c r="E18" s="1420">
        <f>IF(ISNUMBER(Datos!AQ18),Datos!AQ18," - ")</f>
        <v>2</v>
      </c>
      <c r="F18" s="1214" t="str">
        <f>IF(ISNUMBER(AF18+AB18-I18-L18),AF18+AB18-I18-L18," - ")</f>
        <v xml:space="preserve"> - </v>
      </c>
      <c r="G18" s="1246">
        <f>IF(ISNUMBER(IF(D_I="SI",Datos!I18,Datos!I18+Datos!AC18)),IF(D_I="SI",Datos!I18,Datos!I18+Datos!AC18)," - ")</f>
        <v>311</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6</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574</v>
      </c>
      <c r="AC18" s="1215">
        <f>IF(ISNUMBER(Datos!Q18),Datos!Q18," - ")</f>
        <v>0</v>
      </c>
      <c r="AD18" s="1247"/>
      <c r="AE18" s="1262"/>
      <c r="AF18" s="1245">
        <f>IF(ISNUMBER(Datos!L18),Datos!L18,"-")</f>
        <v>234</v>
      </c>
      <c r="AG18" s="1247"/>
      <c r="AH18" s="1247"/>
      <c r="AI18" s="1247"/>
      <c r="AJ18" s="1247"/>
      <c r="AK18" s="1247"/>
      <c r="AL18" s="1258"/>
      <c r="AM18" s="1248">
        <f>IF(ISNUMBER(Datos!R18),Datos!R18," - ")</f>
        <v>24</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60</v>
      </c>
      <c r="BD18" s="1218">
        <f>IF(ISNUMBER(Datos!N18),Datos!N18," - ")</f>
        <v>250</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1.0996168582375478</v>
      </c>
      <c r="BH18" s="1226">
        <f>IF(ISNUMBER(((IF(D_I="SI",Datos!L18/Datos!K18,(Datos!L18+Datos!AF18)/(Datos!K18+Datos!AE18)))*11)/factor_trimestre),((IF(D_I="SI",Datos!L18/Datos!K18,(Datos!L18+Datos!AF18)/(Datos!K18+Datos!AE18)))*11)/factor_trimestre," - ")</f>
        <v>1.2229965156794425</v>
      </c>
      <c r="BI18" s="1223">
        <f>IF(ISNUMBER('Resol  Asuntos'!D18/NºAsuntos!G18),'Resol  Asuntos'!D18/NºAsuntos!G18," - ")</f>
        <v>0.10452961672473868</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5</v>
      </c>
      <c r="F19" s="1391">
        <f>SUBTOTAL(9,F15:F18)</f>
        <v>1909</v>
      </c>
      <c r="G19" s="1391">
        <f>SUBTOTAL(9,G15:G18)</f>
        <v>2227</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70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2015</v>
      </c>
      <c r="AC19" s="1392">
        <f t="shared" si="4"/>
        <v>83</v>
      </c>
      <c r="AD19" s="1392">
        <f t="shared" si="4"/>
        <v>0</v>
      </c>
      <c r="AE19" s="1392">
        <f t="shared" si="4"/>
        <v>0</v>
      </c>
      <c r="AF19" s="1392">
        <f t="shared" si="4"/>
        <v>1995</v>
      </c>
      <c r="AG19" s="1392">
        <f t="shared" si="4"/>
        <v>0</v>
      </c>
      <c r="AH19" s="1392">
        <f t="shared" si="4"/>
        <v>0</v>
      </c>
      <c r="AI19" s="1392">
        <f t="shared" si="4"/>
        <v>0</v>
      </c>
      <c r="AJ19" s="1392">
        <f t="shared" si="4"/>
        <v>0</v>
      </c>
      <c r="AK19" s="1392">
        <f t="shared" si="4"/>
        <v>0</v>
      </c>
      <c r="AL19" s="1392">
        <f t="shared" si="4"/>
        <v>0</v>
      </c>
      <c r="AM19" s="1392">
        <f t="shared" si="4"/>
        <v>420</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228</v>
      </c>
      <c r="BD19" s="1392">
        <f t="shared" si="4"/>
        <v>1049</v>
      </c>
      <c r="BE19" s="1392">
        <f t="shared" si="4"/>
        <v>0</v>
      </c>
      <c r="BF19" s="1392">
        <f t="shared" si="4"/>
        <v>0</v>
      </c>
      <c r="BG19" s="1392">
        <f>IF(ISNUMBER(Datos!K19/Datos!J19),Datos!K19/Datos!J19," - ")</f>
        <v>1.1101928374655647</v>
      </c>
      <c r="BH19" s="1396">
        <f>IF(ISNUMBER(((Datos!L19/Datos!K19)*11)/factor_trimestre),((Datos!L19/Datos!K19)*11)/factor_trimestre," - ")</f>
        <v>2.9702233250620349</v>
      </c>
      <c r="BI19" s="1392">
        <f>SUBTOTAL(9,BI15:BI18)</f>
        <v>0.22234167843581862</v>
      </c>
      <c r="BJ19" s="1392">
        <f>SUBTOTAL(9,BJ15:BJ18)</f>
        <v>0</v>
      </c>
      <c r="BK19" s="1392">
        <f>SUBTOTAL(9,BK15:BK18)</f>
        <v>0</v>
      </c>
      <c r="BL19" s="1392">
        <f>IF(ISNUMBER((I19-AB19+L19)/(F19)),(I19-AB19+L19)/(F19)," - ")</f>
        <v>-1.0555264536406495</v>
      </c>
      <c r="BM19" s="1398">
        <f>IF(ISNUMBER((Datos!P19-Datos!Q19)/(Datos!R19-Datos!P19+Datos!Q19)),(Datos!P19-Datos!Q19)/(Datos!R19-Datos!P19+Datos!Q19)," - ")</f>
        <v>-3.0023094688221709E-2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12</v>
      </c>
      <c r="F20" s="1367">
        <f t="shared" si="6"/>
        <v>2173</v>
      </c>
      <c r="G20" s="1367">
        <f t="shared" si="6"/>
        <v>2491</v>
      </c>
      <c r="H20" s="1369">
        <f t="shared" si="6"/>
        <v>0</v>
      </c>
      <c r="I20" s="1367">
        <f t="shared" si="6"/>
        <v>0</v>
      </c>
      <c r="J20" s="1369">
        <f t="shared" si="6"/>
        <v>0</v>
      </c>
      <c r="K20" s="1369">
        <f t="shared" si="6"/>
        <v>0</v>
      </c>
      <c r="L20" s="1386">
        <f t="shared" si="6"/>
        <v>0</v>
      </c>
      <c r="M20" s="1386">
        <f t="shared" si="6"/>
        <v>0</v>
      </c>
      <c r="N20" s="1386">
        <f t="shared" si="6"/>
        <v>274</v>
      </c>
      <c r="O20" s="1386">
        <f t="shared" si="6"/>
        <v>0</v>
      </c>
      <c r="P20" s="1386">
        <f t="shared" si="6"/>
        <v>0</v>
      </c>
      <c r="Q20" s="1369">
        <f t="shared" si="6"/>
        <v>681</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2071</v>
      </c>
      <c r="AC20" s="1368">
        <f t="shared" si="7"/>
        <v>682</v>
      </c>
      <c r="AD20" s="1368">
        <f t="shared" si="7"/>
        <v>0</v>
      </c>
      <c r="AE20" s="1368">
        <f t="shared" si="7"/>
        <v>0</v>
      </c>
      <c r="AF20" s="1371">
        <f t="shared" si="7"/>
        <v>2250</v>
      </c>
      <c r="AG20" s="1371">
        <f t="shared" si="7"/>
        <v>0</v>
      </c>
      <c r="AH20" s="1371">
        <f t="shared" si="7"/>
        <v>423</v>
      </c>
      <c r="AI20" s="1371">
        <f t="shared" si="7"/>
        <v>0</v>
      </c>
      <c r="AJ20" s="1368">
        <f t="shared" si="7"/>
        <v>0</v>
      </c>
      <c r="AK20" s="1371">
        <f t="shared" si="7"/>
        <v>0</v>
      </c>
      <c r="AL20" s="1371">
        <f t="shared" si="7"/>
        <v>0</v>
      </c>
      <c r="AM20" s="1371">
        <f t="shared" si="7"/>
        <v>7177</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832</v>
      </c>
      <c r="BD20" s="1367">
        <f t="shared" si="7"/>
        <v>1595</v>
      </c>
      <c r="BE20" s="1367">
        <f t="shared" si="7"/>
        <v>0</v>
      </c>
      <c r="BF20" s="1373">
        <f t="shared" si="7"/>
        <v>0</v>
      </c>
      <c r="BG20" s="1404">
        <f>IF(ISNUMBER(Datos!K20/Datos!J20),Datos!K20/Datos!J20," - ")</f>
        <v>0.96179966044142617</v>
      </c>
      <c r="BH20" s="1404">
        <f>IF(ISNUMBER(((Datos!L20/Datos!K20)*11)/factor_trimestre),((Datos!L20/Datos!K20)*11)/factor_trimestre," - ")</f>
        <v>5.037069726390115</v>
      </c>
      <c r="BI20" s="1362">
        <f>IF(ISNUMBER(Datos!J20/Datos!I20),Datos!J20/Datos!I20," - ")</f>
        <v>0.63062098501070663</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-0.95306028531983433</v>
      </c>
      <c r="BM20" s="1387">
        <f>IF(ISNUMBER((Datos!P20-Datos!Q20+R20)/(Datos!R20-Datos!P20+Datos!Q20-R20)),(Datos!P20-Datos!Q20+R20)/(Datos!R20-Datos!P20+Datos!Q20-R20)," - ")</f>
        <v>-1.3931457230426304E-4</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830.33333333333337</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2.5473297566057065</v>
      </c>
      <c r="F22" s="1298">
        <f>IF(ISNUMBER(STDEV(F8:F19)),STDEV(F8:F19),"-")</f>
        <v>938.96150080820667</v>
      </c>
      <c r="G22" s="1299">
        <f>IF(ISNUMBER(STDEV(G8:G19)),STDEV(G8:G19),"-")</f>
        <v>959.76031730149521</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845.02228767451265</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248.96069684074345</v>
      </c>
      <c r="BD22" s="1298"/>
      <c r="BE22" s="1298">
        <f>IF(ISNUMBER(STDEV(BE8:BE19)),STDEV(BE8:BE19),"-")</f>
        <v>0</v>
      </c>
      <c r="BF22" s="1303">
        <f>IF(ISNUMBER(STDEV(BF8:BF19)),STDEV(BF8:BF19),"-")</f>
        <v>0</v>
      </c>
      <c r="BG22" s="1360">
        <f>IF(ISNUMBER(STDEV(BG8:BG19)),STDEV(BG8:BG19),"-")</f>
        <v>0.1542605218389734</v>
      </c>
      <c r="BH22" s="1361">
        <f>IF(ISNUMBER(STDEV(BH8:BH19)),STDEV(BH8:BH19),"-")</f>
        <v>8.868433275320184</v>
      </c>
      <c r="BI22" s="1224">
        <f>IF(ISNUMBER(STDEV(BI8:BI19)),STDEV(BI8:BI19),"-")</f>
        <v>0.14045727495506097</v>
      </c>
      <c r="BJ22" s="1219" t="str">
        <f>IF(ISNUMBER(BL22/BM22),BL22/BM22," - ")</f>
        <v xml:space="preserve"> - </v>
      </c>
      <c r="BK22" s="1320"/>
      <c r="BL22" s="1306">
        <f>IF(ISNUMBER(STDEV(BL8:BL19)),STDEV(BL8:BL19),"-")</f>
        <v>0.5963775655666721</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j55+a9sJfpBDDPKnGKD1XNCg7YrBuPMkU1xDHoS5T5atRMLypu5xYKYl04tfy1BVGiyf4JiZAIjT5i9Ls06KRA==" saltValue="egNtgHs+VHPVHjA+yHVXQ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CACERES  Resumenes por Partidos Judiciales  CACERES</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606</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544</v>
      </c>
      <c r="AA9" s="331" t="str">
        <f>IF(ISNUMBER(IF(J_V="SI",Datos!L9,Datos!L9+Datos!AB9)-IF(Monitorios="SI",Datos!CD9,0)),
                          IF(J_V="SI",Datos!L9,Datos!L9+Datos!AB9)-IF(Monitorios="SI",Datos!CD9,0),
                          " - ")</f>
        <v xml:space="preserve"> - </v>
      </c>
      <c r="AB9" s="333"/>
      <c r="AC9" s="333"/>
      <c r="AD9" s="483"/>
      <c r="AE9" s="483">
        <f>IF(ISNUMBER(Datos!R9),Datos!R9," - ")</f>
        <v>5006</v>
      </c>
      <c r="AF9" s="228" t="str">
        <f>IF(ISNUMBER(Datos!BV9),Datos!BV9," - ")</f>
        <v xml:space="preserve"> - </v>
      </c>
      <c r="AG9" s="224" t="str">
        <f>IF(ISNUMBER(Datos!DV9),Datos!DV9," - ")</f>
        <v xml:space="preserve"> - </v>
      </c>
      <c r="AH9" s="297"/>
      <c r="AI9" s="226"/>
      <c r="AJ9" s="224">
        <f>IF(ISNUMBER(Datos!M9),Datos!M9," - ")</f>
        <v>575</v>
      </c>
      <c r="AK9" s="228">
        <f>IF(ISNUMBER(Datos!N9),Datos!N9," - ")</f>
        <v>518</v>
      </c>
      <c r="AL9" s="228" t="str">
        <f>IF(ISNUMBER(Datos!BW9),Datos!BW9," - ")</f>
        <v xml:space="preserve"> - </v>
      </c>
      <c r="AM9" s="227" t="str">
        <f>IF(ISNUMBER(Datos!BX9),Datos!BX9," - ")</f>
        <v xml:space="preserve"> - </v>
      </c>
      <c r="AN9" s="242"/>
      <c r="AO9" s="259">
        <f>IF(ISNUMBER(((NºAsuntos!I9/NºAsuntos!G9)*11)/factor_trimestre),((NºAsuntos!I9/NºAsuntos!G9)*11)/factor_trimestre," - ")</f>
        <v>7.3158567774936065</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1.2540453074433657E-2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3</v>
      </c>
      <c r="B10" s="506" t="s">
        <v>247</v>
      </c>
      <c r="C10" s="7" t="str">
        <f>Datos!A10</f>
        <v>Sección De Violencia sobre la Mujer del TI</v>
      </c>
      <c r="D10" s="507"/>
      <c r="E10" s="1163">
        <f>IF(ISNUMBER(Datos!AQ10),Datos!AQ10," - ")</f>
        <v>2</v>
      </c>
      <c r="F10" s="224">
        <f>IF(ISNUMBER(Datos!L10+Datos!K10-Datos!J10),Datos!L10+Datos!K10-Datos!J10," - ")</f>
        <v>264</v>
      </c>
      <c r="G10" s="224">
        <f>IF(ISNUMBER(Datos!I10),Datos!I10," - ")</f>
        <v>264</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4</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56</v>
      </c>
      <c r="Z10" s="617">
        <f>IF(ISNUMBER(Datos!Q10),Datos!Q10," - ")</f>
        <v>4</v>
      </c>
      <c r="AA10" s="331">
        <f>IF(ISNUMBER(Datos!L10),Datos!L10,"-")</f>
        <v>255</v>
      </c>
      <c r="AB10" s="333"/>
      <c r="AC10" s="333"/>
      <c r="AD10" s="483"/>
      <c r="AE10" s="483">
        <f>IF(ISNUMBER(Datos!R10),Datos!R10," - ")</f>
        <v>23</v>
      </c>
      <c r="AF10" s="228" t="str">
        <f>IF(ISNUMBER(Datos!BV10),Datos!BV10," - ")</f>
        <v xml:space="preserve"> - </v>
      </c>
      <c r="AG10" s="224" t="str">
        <f>IF(ISNUMBER(Datos!DV10),Datos!DV10," - ")</f>
        <v xml:space="preserve"> - </v>
      </c>
      <c r="AH10" s="297"/>
      <c r="AI10" s="226"/>
      <c r="AJ10" s="224">
        <f>IF(ISNUMBER(Datos!M10),Datos!M10," - ")</f>
        <v>27</v>
      </c>
      <c r="AK10" s="228">
        <f>IF(ISNUMBER(Datos!N10),Datos!N10," - ")</f>
        <v>22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13.660714285714286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51</v>
      </c>
      <c r="AA12" s="331" t="str">
        <f>IF(ISNUMBER(IF(J_V="SI",Datos!L12,Datos!L12+Datos!AB12)-IF(Monitorios="SI",Datos!CD12,0)),
                          IF(J_V="SI",Datos!L12,Datos!L12+Datos!AB12)-IF(Monitorios="SI",Datos!CD12,0),
                          " - ")</f>
        <v xml:space="preserve"> - </v>
      </c>
      <c r="AB12" s="333"/>
      <c r="AC12" s="333"/>
      <c r="AD12" s="483"/>
      <c r="AE12" s="483">
        <f>IF(ISNUMBER(Datos!R12),Datos!R12," - ")</f>
        <v>1728</v>
      </c>
      <c r="AF12" s="228" t="str">
        <f>IF(ISNUMBER(Datos!BV12),Datos!BV12," - ")</f>
        <v xml:space="preserve"> - </v>
      </c>
      <c r="AG12" s="224" t="str">
        <f>IF(ISNUMBER(Datos!DV12),Datos!DV12," - ")</f>
        <v xml:space="preserve"> - </v>
      </c>
      <c r="AH12" s="297"/>
      <c r="AI12" s="226"/>
      <c r="AJ12" s="224">
        <f>IF(ISNUMBER(Datos!M12),Datos!M12," - ")</f>
        <v>2</v>
      </c>
      <c r="AK12" s="228">
        <f>IF(ISNUMBER(Datos!N12),Datos!N12," - ")</f>
        <v>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28.285714285714288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-2.81214848143982E-2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7</v>
      </c>
      <c r="F13" s="895">
        <f>SUBTOTAL(9,F8:F12)</f>
        <v>264</v>
      </c>
      <c r="G13" s="895">
        <f>SUBTOTAL(9,G8:G12)</f>
        <v>264</v>
      </c>
      <c r="H13" s="905"/>
      <c r="I13" s="895">
        <f t="shared" ref="I13:N13" si="0">SUBTOTAL(9,I8:I12)</f>
        <v>0</v>
      </c>
      <c r="J13" s="864">
        <f t="shared" si="0"/>
        <v>0</v>
      </c>
      <c r="K13" s="905">
        <f t="shared" si="0"/>
        <v>0</v>
      </c>
      <c r="L13" s="905">
        <f t="shared" si="0"/>
        <v>0</v>
      </c>
      <c r="M13" s="905">
        <f t="shared" si="0"/>
        <v>0</v>
      </c>
      <c r="N13" s="905">
        <f t="shared" si="0"/>
        <v>611</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56</v>
      </c>
      <c r="Z13" s="904">
        <f t="shared" si="2"/>
        <v>599</v>
      </c>
      <c r="AA13" s="897">
        <f t="shared" si="2"/>
        <v>255</v>
      </c>
      <c r="AB13" s="897">
        <f t="shared" si="2"/>
        <v>0</v>
      </c>
      <c r="AC13" s="897">
        <f t="shared" si="2"/>
        <v>0</v>
      </c>
      <c r="AD13" s="897">
        <f t="shared" si="2"/>
        <v>0</v>
      </c>
      <c r="AE13" s="897">
        <f t="shared" si="2"/>
        <v>6757</v>
      </c>
      <c r="AF13" s="905">
        <f t="shared" si="2"/>
        <v>0</v>
      </c>
      <c r="AG13" s="905">
        <f t="shared" si="2"/>
        <v>0</v>
      </c>
      <c r="AH13" s="905">
        <f t="shared" si="2"/>
        <v>0</v>
      </c>
      <c r="AI13" s="905">
        <f t="shared" si="2"/>
        <v>0</v>
      </c>
      <c r="AJ13" s="905">
        <f t="shared" si="2"/>
        <v>604</v>
      </c>
      <c r="AK13" s="905">
        <f t="shared" si="2"/>
        <v>546</v>
      </c>
      <c r="AL13" s="905">
        <f t="shared" si="2"/>
        <v>0</v>
      </c>
      <c r="AM13" s="905">
        <f t="shared" si="2"/>
        <v>0</v>
      </c>
      <c r="AN13" s="905">
        <f t="shared" si="2"/>
        <v>0</v>
      </c>
      <c r="AO13" s="901">
        <f>IF(ISNUMBER(((NºAsuntos!I13/NºAsuntos!G13)*11)/factor_trimestre),((NºAsuntos!I13/NºAsuntos!G13)*11)/factor_trimestre," - ")</f>
        <v>7.6244622003687761</v>
      </c>
      <c r="AP13" s="907" t="str">
        <f>IF(ISNUMBER(Datos!CI13/Datos!CJ13),Datos!CI13/Datos!CJ13," - ")</f>
        <v xml:space="preserve"> - </v>
      </c>
      <c r="AQ13" s="923">
        <f t="shared" ref="AQ13:AV13" si="3">SUBTOTAL(9,AQ9:AQ12)</f>
        <v>0</v>
      </c>
      <c r="AR13" s="923">
        <f t="shared" si="3"/>
        <v>-1.5581031739964543E-2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3</v>
      </c>
      <c r="B15" s="506" t="s">
        <v>397</v>
      </c>
      <c r="C15" s="159" t="str">
        <f>Datos!A15</f>
        <v xml:space="preserve">Seccion Instruccion Del T.I.                   </v>
      </c>
      <c r="D15" s="501"/>
      <c r="E15" s="1163">
        <f>IF(ISNUMBER(Datos!AQ15),Datos!AQ15," - ")</f>
        <v>3</v>
      </c>
      <c r="F15" s="332">
        <f>IF(ISNUMBER(AA15+Y15-Datos!J15-K15),AA15+Y15-Datos!J15-K15," - ")</f>
        <v>1876</v>
      </c>
      <c r="G15" s="224">
        <f>IF(ISNUMBER(IF(D_I="SI",Datos!I15,Datos!I15+Datos!AC15)),IF(D_I="SI",Datos!I15,Datos!I15+Datos!AC15)," - ")</f>
        <v>1883</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64</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1426</v>
      </c>
      <c r="Z15" s="617">
        <f>IF(ISNUMBER(Datos!Q15),Datos!Q15," - ")</f>
        <v>83</v>
      </c>
      <c r="AA15" s="331">
        <f>IF(ISNUMBER(IF(D_I="SI",Datos!L15,Datos!L15+Datos!AF15)),IF(D_I="SI",Datos!L15,Datos!L15+Datos!AF15)," - ")</f>
        <v>1743</v>
      </c>
      <c r="AB15" s="333"/>
      <c r="AC15" s="333"/>
      <c r="AD15" s="483"/>
      <c r="AE15" s="483">
        <f>IF(ISNUMBER(Datos!R15),Datos!R15," - ")</f>
        <v>373</v>
      </c>
      <c r="AF15" s="228" t="str">
        <f>IF(ISNUMBER(Datos!BV15),Datos!BV15," - ")</f>
        <v xml:space="preserve"> - </v>
      </c>
      <c r="AG15" s="224"/>
      <c r="AH15" s="297"/>
      <c r="AI15" s="226"/>
      <c r="AJ15" s="224">
        <f>IF(ISNUMBER(Datos!M15),Datos!M15," - ")</f>
        <v>168</v>
      </c>
      <c r="AK15" s="228">
        <f>IF(ISNUMBER(Datos!N15),Datos!N15," - ")</f>
        <v>798</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3.6669004207573637</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f>IF(ISNUMBER(AA17+Y17-Datos!J17-K15),AA17+Y17-Datos!J17-K15," - ")</f>
        <v>33</v>
      </c>
      <c r="G17" s="224">
        <f>IF(ISNUMBER(IF(D_I="SI",Datos!I17,Datos!I17+Datos!AC17)),IF(D_I="SI",Datos!I17,Datos!I17+Datos!AC17)," - ")</f>
        <v>33</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15</v>
      </c>
      <c r="Z17" s="617">
        <f>IF(ISNUMBER(Datos!Q17),Datos!Q17," - ")</f>
        <v>0</v>
      </c>
      <c r="AA17" s="331">
        <f>IF(ISNUMBER(IF(D_I="SI",Datos!L17,Datos!L17+Datos!AF17)),IF(D_I="SI",Datos!L17,Datos!L17+Datos!AF17)," - ")</f>
        <v>18</v>
      </c>
      <c r="AB17" s="333"/>
      <c r="AC17" s="333"/>
      <c r="AD17" s="483"/>
      <c r="AE17" s="483">
        <f>IF(ISNUMBER(Datos!R17),Datos!R17," - ")</f>
        <v>23</v>
      </c>
      <c r="AF17" s="228" t="str">
        <f>IF(ISNUMBER(Datos!BV17),Datos!BV17," - ")</f>
        <v xml:space="preserve"> - </v>
      </c>
      <c r="AG17" s="224"/>
      <c r="AH17" s="297"/>
      <c r="AI17" s="226"/>
      <c r="AJ17" s="224">
        <f>IF(ISNUMBER(Datos!M17),Datos!M17," - ")</f>
        <v>0</v>
      </c>
      <c r="AK17" s="228">
        <f>IF(ISNUMBER(Datos!N17),Datos!N17," - ")</f>
        <v>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3.6</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3</v>
      </c>
      <c r="B18" s="506" t="s">
        <v>397</v>
      </c>
      <c r="C18" s="7" t="str">
        <f>Datos!A18</f>
        <v>Sección De Violencia sobre la Mujer del TI</v>
      </c>
      <c r="D18" s="507"/>
      <c r="E18" s="1163">
        <f>IF(ISNUMBER(Datos!AQ18),Datos!AQ18," - ")</f>
        <v>2</v>
      </c>
      <c r="F18" s="224" t="str">
        <f>IF(ISNUMBER(AA18+Y18-I18-K18),AA18+Y18-I18-K18," - ")</f>
        <v xml:space="preserve"> - </v>
      </c>
      <c r="G18" s="522">
        <f>IF(ISNUMBER(IF(D_I="SI",Datos!I18,Datos!I18+Datos!AC18)),IF(D_I="SI",Datos!I18,Datos!I18+Datos!AC18)," - ")</f>
        <v>311</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6</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574</v>
      </c>
      <c r="Z18" s="617">
        <f>IF(ISNUMBER(Datos!Q18),Datos!Q18," - ")</f>
        <v>0</v>
      </c>
      <c r="AA18" s="331">
        <f>IF(ISNUMBER(Datos!L18),Datos!L18,"-")</f>
        <v>234</v>
      </c>
      <c r="AB18" s="333"/>
      <c r="AC18" s="333"/>
      <c r="AD18" s="483"/>
      <c r="AE18" s="483">
        <f>IF(ISNUMBER(Datos!R18),Datos!R18," - ")</f>
        <v>24</v>
      </c>
      <c r="AF18" s="228" t="str">
        <f>IF(ISNUMBER(Datos!BV18),Datos!BV18," - ")</f>
        <v xml:space="preserve"> - </v>
      </c>
      <c r="AG18" s="224" t="str">
        <f>IF(ISNUMBER(Datos!DV18),Datos!DV18," - ")</f>
        <v xml:space="preserve"> - </v>
      </c>
      <c r="AH18" s="297"/>
      <c r="AI18" s="226"/>
      <c r="AJ18" s="224">
        <f>IF(ISNUMBER(Datos!M18),Datos!M18," - ")</f>
        <v>60</v>
      </c>
      <c r="AK18" s="228">
        <f>IF(ISNUMBER(Datos!N18),Datos!N18," - ")</f>
        <v>250</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1.2229965156794425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5</v>
      </c>
      <c r="F19" s="895">
        <f>SUBTOTAL(9,F15:F18)</f>
        <v>1909</v>
      </c>
      <c r="G19" s="895">
        <f>SUBTOTAL(9,G15:G18)</f>
        <v>2227</v>
      </c>
      <c r="H19" s="927">
        <f>SUBTOTAL(9,H15:H18)</f>
        <v>0</v>
      </c>
      <c r="I19" s="908">
        <f>SUBTOTAL(9,I15:I18)</f>
        <v>0</v>
      </c>
      <c r="J19" s="864">
        <f>SUBTOTAL(9,J14:J18)</f>
        <v>0</v>
      </c>
      <c r="K19" s="927">
        <f t="shared" ref="K19:S19" si="4">SUBTOTAL(9,K15:K18)</f>
        <v>0</v>
      </c>
      <c r="L19" s="927">
        <f t="shared" si="4"/>
        <v>0</v>
      </c>
      <c r="M19" s="927">
        <f t="shared" si="4"/>
        <v>0</v>
      </c>
      <c r="N19" s="927">
        <f t="shared" si="4"/>
        <v>70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2015</v>
      </c>
      <c r="Z19" s="927">
        <f t="shared" si="5"/>
        <v>83</v>
      </c>
      <c r="AA19" s="927">
        <f t="shared" si="5"/>
        <v>1995</v>
      </c>
      <c r="AB19" s="927">
        <f t="shared" si="5"/>
        <v>0</v>
      </c>
      <c r="AC19" s="927">
        <f t="shared" si="5"/>
        <v>0</v>
      </c>
      <c r="AD19" s="927">
        <f t="shared" si="5"/>
        <v>0</v>
      </c>
      <c r="AE19" s="927">
        <f t="shared" si="5"/>
        <v>420</v>
      </c>
      <c r="AF19" s="927">
        <f t="shared" si="5"/>
        <v>0</v>
      </c>
      <c r="AG19" s="927">
        <f t="shared" si="5"/>
        <v>0</v>
      </c>
      <c r="AH19" s="927">
        <f t="shared" si="5"/>
        <v>0</v>
      </c>
      <c r="AI19" s="927">
        <f t="shared" si="5"/>
        <v>0</v>
      </c>
      <c r="AJ19" s="927">
        <f t="shared" si="5"/>
        <v>228</v>
      </c>
      <c r="AK19" s="927">
        <f t="shared" si="5"/>
        <v>1049</v>
      </c>
      <c r="AL19" s="927">
        <f t="shared" si="5"/>
        <v>0</v>
      </c>
      <c r="AM19" s="927">
        <f t="shared" si="5"/>
        <v>0</v>
      </c>
      <c r="AN19" s="927">
        <f t="shared" si="5"/>
        <v>0</v>
      </c>
      <c r="AO19" s="929">
        <f>IF(ISNUMBER(((NºAsuntos!I19/NºAsuntos!G19)*11)/factor_trimestre),((NºAsuntos!I19/NºAsuntos!G19)*11)/factor_trimestre," - ")</f>
        <v>2.9702233250620349</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12</v>
      </c>
      <c r="F20" s="817">
        <f t="shared" si="7"/>
        <v>2173</v>
      </c>
      <c r="G20" s="817">
        <f t="shared" si="7"/>
        <v>2491</v>
      </c>
      <c r="H20" s="818">
        <f t="shared" si="7"/>
        <v>0</v>
      </c>
      <c r="I20" s="817">
        <f t="shared" si="7"/>
        <v>0</v>
      </c>
      <c r="J20" s="819">
        <f t="shared" si="7"/>
        <v>0</v>
      </c>
      <c r="K20" s="817">
        <f t="shared" si="7"/>
        <v>0</v>
      </c>
      <c r="L20" s="820">
        <f t="shared" si="7"/>
        <v>0</v>
      </c>
      <c r="M20" s="817">
        <f t="shared" si="7"/>
        <v>0</v>
      </c>
      <c r="N20" s="818">
        <f t="shared" si="7"/>
        <v>681</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2071</v>
      </c>
      <c r="Z20" s="824">
        <f t="shared" si="8"/>
        <v>682</v>
      </c>
      <c r="AA20" s="825">
        <f t="shared" si="8"/>
        <v>2250</v>
      </c>
      <c r="AB20" s="825">
        <f t="shared" si="8"/>
        <v>0</v>
      </c>
      <c r="AC20" s="825">
        <f t="shared" si="8"/>
        <v>0</v>
      </c>
      <c r="AD20" s="826">
        <f t="shared" si="8"/>
        <v>0</v>
      </c>
      <c r="AE20" s="826">
        <f t="shared" si="8"/>
        <v>7177</v>
      </c>
      <c r="AF20" s="827">
        <f t="shared" si="8"/>
        <v>0</v>
      </c>
      <c r="AG20" s="828">
        <f t="shared" si="8"/>
        <v>0</v>
      </c>
      <c r="AH20" s="829">
        <f t="shared" si="8"/>
        <v>0</v>
      </c>
      <c r="AI20" s="827">
        <f t="shared" si="8"/>
        <v>0</v>
      </c>
      <c r="AJ20" s="817">
        <f t="shared" si="8"/>
        <v>832</v>
      </c>
      <c r="AK20" s="817">
        <f t="shared" si="8"/>
        <v>1595</v>
      </c>
      <c r="AL20" s="817">
        <f t="shared" si="8"/>
        <v>0</v>
      </c>
      <c r="AM20" s="830">
        <f t="shared" si="8"/>
        <v>0</v>
      </c>
      <c r="AN20" s="820">
        <f>IF(ISNUMBER(Datos!K20/Datos!J20),Datos!K20/Datos!J20," - ")</f>
        <v>0.96179966044142617</v>
      </c>
      <c r="AO20" s="820">
        <f>IF(ISNUMBER(FIND("06",Criterios!A8,1)),(IF(ISNUMBER(((Datos!R20/Datos!Q20)*11)/factor_trimestre),((Datos!R20/Datos!Q20)*11)/factor_trimestre," - ")),(IF(ISNUMBER(((Datos!L20/Datos!K20)*11)/factor_trimestre),((Datos!L20/Datos!K20)*11)/factor_trimestre," - ")))</f>
        <v>5.037069726390115</v>
      </c>
      <c r="AP20" s="831" t="str">
        <f>IF(ISNUMBER(Datos!CI20/Datos!CJ20),Datos!CI20/Datos!CJ20," - ")</f>
        <v xml:space="preserve"> - </v>
      </c>
      <c r="AQ20" s="831">
        <f>IF(OR(ISNUMBER(FIND("01",Criterios!A8,1)),ISNUMBER(FIND("02",Criterios!A8,1)),ISNUMBER(FIND("03",Criterios!A8,1)),ISNUMBER(FIND("04",Criterios!A8,1))),(J20-Y20+K20)/(F20-K20),(I20-Y20+K20)/(F20-K20))</f>
        <v>-0.95306028531983433</v>
      </c>
      <c r="AR20" s="831">
        <f>IF(ISNUMBER((Datos!P20-Datos!Q20+O20)/(Datos!R20-Datos!P20+Datos!Q20-O20)),(Datos!P20-Datos!Q20+O20)/(Datos!R20-Datos!P20+Datos!Q20-O20)," - ")</f>
        <v>-1.3931457230426304E-4</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830.33333333333337</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938.96150080820667</v>
      </c>
      <c r="G22" s="551">
        <f>IF(ISNUMBER(STDEV(G8:G19)),STDEV(G8:G19),"-")</f>
        <v>959.76031730149521</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248.96069684074345</v>
      </c>
      <c r="AK22" s="251"/>
      <c r="AL22" s="251">
        <f>IF(ISNUMBER(STDEV(AL8:AL19)),STDEV(AL8:AL19),"-")</f>
        <v>0</v>
      </c>
      <c r="AM22" s="253">
        <f>IF(ISNUMBER(STDEV(AM8:AM19)),STDEV(AM8:AM19),"-")</f>
        <v>0</v>
      </c>
      <c r="AN22" s="538">
        <f>IF(ISNUMBER(STDEV(AN8:AN19)),STDEV(AN8:AN19),"-")</f>
        <v>0</v>
      </c>
      <c r="AO22" s="539">
        <f>IF(ISNUMBER(STDEV(AO8:AO19)),STDEV(AO8:AO19),"-")</f>
        <v>8.8734213486383169</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kAmQE+uoB4qe3kf3ywRj9X8GzysrgdFzesH0k2CvcKiiEjY+qTPsAmJGap8XC2PvDdYJ7xCVC9IGcF7o/qFKmA==" saltValue="5VDNBW4KxHdT/tTvnfVDH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GmpsgDCHi8QI9116gHaMa+tHu0fImlbkcHSYHNVBMLrZVsO6eFYBRnXI8f6DB0BE7cJkaXr6iCQSjm6Vqmo5sA==" saltValue="GLG8C+erGUUcnNfacHGse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5vZZioLzDjbtHR/4zv4p2yrfuMmYWrf+RbX5ZaFQuOeg1UZLurcsH9TGdRj6yRBdcoJAW9t4w8d6Dp7mzb/DZg==" saltValue="/pjyCHE56CwUty06sVpwB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EXTREMADURA</v>
      </c>
    </row>
    <row r="2" spans="1:78" ht="16.5" customHeight="1">
      <c r="C2" s="1263" t="str">
        <f>Criterios!A10 &amp;"  "&amp;Criterios!B10 &amp; "  " &amp; IF(NOT(ISBLANK(Criterios!A11)),Criterios!A11 &amp;"  "&amp;Criterios!B11,"")</f>
        <v>Provincias  CACERES  Resumenes por Partidos Judiciales  CACERES</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0.37123540258143822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0.2625030705818529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3tBtGpBf9x4LTcKWUfBPVuW5i6kDA3rmAdGtWT47YsZs7kmB8hco8q5sSEbi+75j6VHxcVSb6sC/VVPH+hTwAw==" saltValue="AHmS3gzz4nrTEDmtvo8xQ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2geQN7zIVYAoCcy1mkgwX4oWIVjwSUH3xC4tzOL/c+vaDx63487KZHL5ctl/jJww5LHvjpIM3w2m485t1b+IeA==" saltValue="+1WEk8VgOUn47/nOvElPZ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CACERES</v>
      </c>
      <c r="D3" s="374"/>
      <c r="E3" s="374"/>
      <c r="F3" s="374"/>
      <c r="BQ3" s="470"/>
    </row>
    <row r="4" spans="1:69" ht="13.5" thickBot="1">
      <c r="A4" s="374"/>
      <c r="B4" s="390" t="str">
        <f>Criterios!A11 &amp;"  "&amp;Criterios!B11</f>
        <v>Resumenes por Partidos Judiciales  CACERES</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5</v>
      </c>
      <c r="C9" s="402">
        <f>IF(ISNUMBER(IF(J_V="SI",Datos!I9,Datos!I9+Datos!Y9)),IF(J_V="SI",Datos!I9,Datos!I9+Datos!Y9)," - ")</f>
        <v>3439</v>
      </c>
      <c r="D9" s="403">
        <f>IF(ISNUMBER(C9/Datos!BH9),C9/Datos!BH9," - ")</f>
        <v>687.8</v>
      </c>
      <c r="E9" s="402">
        <f>IF(ISNUMBER(IF(J_V="SI",Datos!J9,Datos!J9+Datos!Z9)),IF(J_V="SI",Datos!J9,Datos!J9+Datos!Z9)," - ")</f>
        <v>1939</v>
      </c>
      <c r="F9" s="403">
        <f>IF(ISNUMBER(E9/B9),E9/B9," - ")</f>
        <v>387.8</v>
      </c>
      <c r="G9" s="402">
        <f>IF(ISNUMBER(IF(J_V="SI",Datos!K9,Datos!K9+Datos!AA9)),IF(J_V="SI",Datos!K9,Datos!K9+Datos!AA9)," - ")</f>
        <v>1564</v>
      </c>
      <c r="H9" s="403">
        <f>IF(ISNUMBER(G9/B9),G9/B9," - ")</f>
        <v>312.8</v>
      </c>
      <c r="I9" s="402">
        <f>IF(ISNUMBER(IF(J_V="SI",Datos!L9,Datos!L9+Datos!AB9)),IF(J_V="SI",Datos!L9,Datos!L9+Datos!AB9)," - ")</f>
        <v>3814</v>
      </c>
      <c r="J9" s="403">
        <f>IF(ISNUMBER(I9/B9),I9/B9," - ")</f>
        <v>762.8</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3</v>
      </c>
      <c r="C10" s="402">
        <f>IF(ISNUMBER(Datos!I10),Datos!I10," - ")</f>
        <v>264</v>
      </c>
      <c r="D10" s="403">
        <f>IF(ISNUMBER(C10/Datos!BH10),C10/Datos!BH10," - ")</f>
        <v>132</v>
      </c>
      <c r="E10" s="402">
        <f>IF(ISNUMBER(Datos!J10),Datos!J10," - ")</f>
        <v>47</v>
      </c>
      <c r="F10" s="403">
        <f>IF(ISNUMBER(E10/B10),E10/B10," - ")</f>
        <v>15.666666666666666</v>
      </c>
      <c r="G10" s="402">
        <f>IF(ISNUMBER(Datos!K10),Datos!K10," - ")</f>
        <v>56</v>
      </c>
      <c r="H10" s="403">
        <f>IF(ISNUMBER(G10/B10),G10/B10," - ")</f>
        <v>18.666666666666668</v>
      </c>
      <c r="I10" s="402">
        <f>IF(ISNUMBER(Datos!L10),Datos!L10," - ")</f>
        <v>255</v>
      </c>
      <c r="J10" s="403">
        <f>IF(ISNUMBER(I10/B10),I10/B10," - ")</f>
        <v>85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f>IF(ISNUMBER(IF(J_V="SI",Datos!I12,Datos!I12+Datos!Y12)),IF(J_V="SI",Datos!I12,Datos!I12+Datos!Y12)," - ")</f>
        <v>66</v>
      </c>
      <c r="D12" s="403" t="str">
        <f>IF(ISNUMBER(C12/Datos!BH12),C12/Datos!BH12," - ")</f>
        <v xml:space="preserve"> - </v>
      </c>
      <c r="E12" s="402">
        <f>IF(ISNUMBER(IF(J_V="SI",Datos!J12,Datos!J12+Datos!Z12)),IF(J_V="SI",Datos!J12,Datos!J12+Datos!Z12)," - ")</f>
        <v>7</v>
      </c>
      <c r="F12" s="403" t="str">
        <f>IF(ISNUMBER(E12/B12),E12/B12," - ")</f>
        <v xml:space="preserve"> - </v>
      </c>
      <c r="G12" s="402">
        <f>IF(ISNUMBER(IF(J_V="SI",Datos!K12,Datos!K12+Datos!AA12)),IF(J_V="SI",Datos!K12,Datos!K12+Datos!AA12)," - ")</f>
        <v>7</v>
      </c>
      <c r="H12" s="403" t="str">
        <f>IF(ISNUMBER(G12/B12),G12/B12," - ")</f>
        <v xml:space="preserve"> - </v>
      </c>
      <c r="I12" s="402">
        <f>IF(ISNUMBER(IF(J_V="SI",Datos!L12,Datos!L12+Datos!AB12)),IF(J_V="SI",Datos!L12,Datos!L12+Datos!AB12)," - ")</f>
        <v>66</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7</v>
      </c>
      <c r="C13" s="846">
        <f>SUBTOTAL(9,C8:C12)</f>
        <v>3769</v>
      </c>
      <c r="D13" s="847" t="str">
        <f>IF(ISNUMBER(C13/Datos!BI13),C13/Datos!BI13," - ")</f>
        <v xml:space="preserve"> - </v>
      </c>
      <c r="E13" s="846">
        <f>SUBTOTAL(9,E8:E12)</f>
        <v>1993</v>
      </c>
      <c r="F13" s="847">
        <f>IF(ISNUMBER(E13/B13),E13/B13," - ")</f>
        <v>284.71428571428572</v>
      </c>
      <c r="G13" s="846">
        <f>SUBTOTAL(9,G8:G12)</f>
        <v>1627</v>
      </c>
      <c r="H13" s="847">
        <f>IF(ISNUMBER(G13/B13),G13/B13," - ")</f>
        <v>232.42857142857142</v>
      </c>
      <c r="I13" s="846">
        <f>SUBTOTAL(9,I8:I12)</f>
        <v>4135</v>
      </c>
      <c r="J13" s="847">
        <f>IF(ISNUMBER(I13/B13),I13/B13," - ")</f>
        <v>590.71428571428567</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3</v>
      </c>
      <c r="C15" s="402">
        <f>IF(ISNUMBER(IF(D_I="SI",Datos!I15,Datos!I15+Datos!AC15)),IF(D_I="SI",Datos!I15,Datos!I15+Datos!AC15)," - ")</f>
        <v>1883</v>
      </c>
      <c r="D15" s="403">
        <f>IF(ISNUMBER(C15/Datos!BH15),C15/Datos!BH15," - ")</f>
        <v>627.66666666666663</v>
      </c>
      <c r="E15" s="402">
        <f>IF(ISNUMBER(IF(D_I="SI",Datos!J15,Datos!J15+Datos!AD15)),IF(D_I="SI",Datos!J15,Datos!J15+Datos!AD15)," - ")</f>
        <v>1293</v>
      </c>
      <c r="F15" s="403">
        <f>IF(ISNUMBER(E15/B15),E15/B15," - ")</f>
        <v>431</v>
      </c>
      <c r="G15" s="402">
        <f>IF(ISNUMBER(IF(D_I="SI",Datos!K15,Datos!K15+Datos!AE15)),IF(D_I="SI",Datos!K15,Datos!K15+Datos!AE15)," - ")</f>
        <v>1426</v>
      </c>
      <c r="H15" s="403">
        <f>IF(ISNUMBER(G15/B15),G15/B15," - ")</f>
        <v>475.33333333333331</v>
      </c>
      <c r="I15" s="402">
        <f>IF(ISNUMBER(IF(D_I="SI",Datos!L15,Datos!L15+Datos!AF15)),IF(D_I="SI",Datos!L15,Datos!L15+Datos!AF15)," - ")</f>
        <v>1743</v>
      </c>
      <c r="J15" s="403">
        <f>IF(ISNUMBER(I15/B15),I15/B15," - ")</f>
        <v>581</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f>IF(ISNUMBER(IF(D_I="SI",Datos!I17,Datos!I17+Datos!AC17)),IF(D_I="SI",Datos!I17,Datos!I17+Datos!AC17)," - ")</f>
        <v>33</v>
      </c>
      <c r="D17" s="403" t="str">
        <f>IF(ISNUMBER(C17/Datos!BH17),C17/Datos!BH17," - ")</f>
        <v xml:space="preserve"> - </v>
      </c>
      <c r="E17" s="402">
        <f>IF(ISNUMBER(IF(D_I="SI",Datos!J17,Datos!J17+Datos!AD17)),IF(D_I="SI",Datos!J17,Datos!J17+Datos!AD17)," - ")</f>
        <v>0</v>
      </c>
      <c r="F17" s="403" t="str">
        <f>IF(ISNUMBER(E17/B17),E17/B17," - ")</f>
        <v xml:space="preserve"> - </v>
      </c>
      <c r="G17" s="402">
        <f>IF(ISNUMBER(IF(D_I="SI",Datos!K17,Datos!K17+Datos!AE17)),IF(D_I="SI",Datos!K17,Datos!K17+Datos!AE17)," - ")</f>
        <v>15</v>
      </c>
      <c r="H17" s="403" t="str">
        <f>IF(ISNUMBER(G17/B17),G17/B17," - ")</f>
        <v xml:space="preserve"> - </v>
      </c>
      <c r="I17" s="402">
        <f>IF(ISNUMBER(IF(D_I="SI",Datos!L17,Datos!L17+Datos!AF17)),IF(D_I="SI",Datos!L17,Datos!L17+Datos!AF17)," - ")</f>
        <v>18</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3</v>
      </c>
      <c r="C18" s="402">
        <f>IF(ISNUMBER(IF(D_I="SI",Datos!I18,Datos!I18+Datos!AC18)),IF(D_I="SI",Datos!I18,Datos!I18+Datos!AC18)," - ")</f>
        <v>311</v>
      </c>
      <c r="D18" s="403">
        <f>IF(ISNUMBER(C18/Datos!BH18),C18/Datos!BH18," - ")</f>
        <v>155.5</v>
      </c>
      <c r="E18" s="402">
        <f>IF(ISNUMBER(IF(D_I="SI",Datos!J18,Datos!J18+Datos!AD18)),IF(D_I="SI",Datos!J18,Datos!J18+Datos!AD18)," - ")</f>
        <v>522</v>
      </c>
      <c r="F18" s="403">
        <f>IF(ISNUMBER(E18/B18),E18/B18," - ")</f>
        <v>174</v>
      </c>
      <c r="G18" s="402">
        <f>IF(ISNUMBER(IF(D_I="SI",Datos!K18,Datos!K18+Datos!AE18)),IF(D_I="SI",Datos!K18,Datos!K18+Datos!AE18)," - ")</f>
        <v>574</v>
      </c>
      <c r="H18" s="403">
        <f>IF(ISNUMBER(G18/B18),G18/B18," - ")</f>
        <v>191.33333333333334</v>
      </c>
      <c r="I18" s="402">
        <f>IF(ISNUMBER(IF(D_I="SI",Datos!L18,Datos!L18+Datos!AF18)),IF(D_I="SI",Datos!L18,Datos!L18+Datos!AF18)," - ")</f>
        <v>234</v>
      </c>
      <c r="J18" s="403">
        <f>IF(ISNUMBER(I18/B18),I18/B18," - ")</f>
        <v>78</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5</v>
      </c>
      <c r="C19" s="846">
        <f>SUBTOTAL(9,C14:C18)</f>
        <v>2227</v>
      </c>
      <c r="D19" s="847" t="str">
        <f>IF(ISNUMBER(C19/Datos!BI19),C19/Datos!BI19," - ")</f>
        <v xml:space="preserve"> - </v>
      </c>
      <c r="E19" s="846">
        <f>SUBTOTAL(9,E14:E18)</f>
        <v>1815</v>
      </c>
      <c r="F19" s="847">
        <f>IF(ISNUMBER(E19/B19),E19/B19," - ")</f>
        <v>363</v>
      </c>
      <c r="G19" s="846">
        <f>SUBTOTAL(9,G14:G18)</f>
        <v>2015</v>
      </c>
      <c r="H19" s="847">
        <f>IF(ISNUMBER(G19/B19),G19/B19," - ")</f>
        <v>403</v>
      </c>
      <c r="I19" s="846">
        <f>SUBTOTAL(9,I14:I18)</f>
        <v>1995</v>
      </c>
      <c r="J19" s="847">
        <f>IF(ISNUMBER(I19/B19),I19/B19," - ")</f>
        <v>399</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10</v>
      </c>
      <c r="C20" s="791">
        <f>SUBTOTAL(9,C9:C19)</f>
        <v>5996</v>
      </c>
      <c r="D20" s="792" t="str">
        <f>IF(ISNUMBER(C20/Datos!BI20),C20/Datos!BI20," - ")</f>
        <v xml:space="preserve"> - </v>
      </c>
      <c r="E20" s="791">
        <f>SUBTOTAL(9,E9:E19)</f>
        <v>3808</v>
      </c>
      <c r="F20" s="792">
        <f>IF(ISNUMBER(E20/B20),E20/B20," - ")</f>
        <v>380.8</v>
      </c>
      <c r="G20" s="791">
        <f>SUBTOTAL(9,G9:G19)</f>
        <v>3642</v>
      </c>
      <c r="H20" s="792">
        <f>IF(ISNUMBER(G20/B20),G20/B20," - ")</f>
        <v>364.2</v>
      </c>
      <c r="I20" s="791">
        <f>SUBTOTAL(9,I9:I19)</f>
        <v>6130</v>
      </c>
      <c r="J20" s="792">
        <f>IF(ISNUMBER(I20/B20),I20/B20," - ")</f>
        <v>613</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sPnnMJy3ngHRrQTZZimpcEI41xBZTtvp8XV2xt9AgCkZJ00Qf+ku51gConDRqdHVJTsMorwou5C2qLgloct1/Q==" saltValue="pfLlhBoQiIE3VP93fx9QJ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EXTREMADURA</v>
      </c>
      <c r="W1"/>
      <c r="X1"/>
    </row>
    <row r="2" spans="1:78" ht="16.5" customHeight="1">
      <c r="C2" s="487" t="str">
        <f>Criterios!A10 &amp;"  "&amp;Criterios!B10 &amp; "  " &amp; IF(NOT(ISBLANK(Criterios!A11)),Criterios!A11 &amp;"  "&amp;Criterios!B11,"")</f>
        <v>Provincias  CACERES  Resumenes por Partidos Judiciales  CACERES</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5</v>
      </c>
      <c r="B9" s="500" t="s">
        <v>247</v>
      </c>
      <c r="C9" s="159" t="str">
        <f>Datos!A9</f>
        <v>Sección Civil del T.I</v>
      </c>
      <c r="D9" s="501"/>
      <c r="E9" s="679">
        <f>IF(ISNUMBER(Datos!AQ9),Datos!AQ9," - ")</f>
        <v>5</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3</v>
      </c>
      <c r="B10" s="506" t="s">
        <v>247</v>
      </c>
      <c r="C10" s="7" t="str">
        <f>Datos!A10</f>
        <v>Sección De Violencia sobre la Mujer del TI</v>
      </c>
      <c r="D10" s="507"/>
      <c r="E10" s="679">
        <f>IF(ISNUMBER(Datos!AQ10),Datos!AQ10," - ")</f>
        <v>2</v>
      </c>
      <c r="F10" s="680">
        <f>IF(ISNUMBER(Datos!L10+Datos!K10-Datos!J10),Datos!L10+Datos!K10-Datos!J10," - ")</f>
        <v>264</v>
      </c>
      <c r="G10" s="681">
        <f>IF(ISNUMBER(Datos!I10),Datos!I10," - ")</f>
        <v>264</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4</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56</v>
      </c>
      <c r="AC10" s="680" t="str">
        <f>IF(ISNUMBER(IF(D_I="SI",DatosP!K18,DatosP!K18+DatosP!AE18)),IF(D_I="SI",DatosP!K18,DatosP!K18+DatosP!AE18)," - ")</f>
        <v xml:space="preserve"> - </v>
      </c>
      <c r="AD10" s="682"/>
      <c r="AE10" s="682"/>
      <c r="AF10" s="685">
        <f>IF(ISNUMBER(Datos!L10),Datos!L10,"-")</f>
        <v>255</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27</v>
      </c>
      <c r="AM10" s="687">
        <f>IF(ISNUMBER(Datos!N10+DatosP!N18),Datos!N10+DatosP!N18," - ")</f>
        <v>22</v>
      </c>
      <c r="AN10" s="687">
        <f>IF(ISNUMBER(Datos!BW10+DatosP!BW18),Datos!BW10+DatosP!BW18," - ")</f>
        <v>0</v>
      </c>
      <c r="AO10" s="688">
        <f>IF(ISNUMBER(Datos!BX10+DatosP!BX18),Datos!BX10+DatosP!BX18," - ")</f>
        <v>0</v>
      </c>
      <c r="AP10" s="690">
        <f>IF(ISNUMBER(((Datos!L10/Datos!K10)*11)/factor_trimestre),((Datos!L10/Datos!K10)*11)/factor_trimestre," - ")</f>
        <v>13.660714285714286</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51</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1728</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v>
      </c>
      <c r="AM12" s="687">
        <f>IF(ISNUMBER(Datos!N12+DatosP!N17),Datos!N12+DatosP!N17," - ")</f>
        <v>6</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28.285714285714288</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-2.81214848143982E-2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7</v>
      </c>
      <c r="F13" s="933">
        <f t="shared" si="0"/>
        <v>264</v>
      </c>
      <c r="G13" s="933">
        <f t="shared" si="0"/>
        <v>264</v>
      </c>
      <c r="H13" s="933">
        <f t="shared" si="0"/>
        <v>0</v>
      </c>
      <c r="I13" s="935">
        <f t="shared" si="0"/>
        <v>0</v>
      </c>
      <c r="J13" s="934">
        <f t="shared" si="0"/>
        <v>0</v>
      </c>
      <c r="K13" s="934">
        <f t="shared" si="0"/>
        <v>0</v>
      </c>
      <c r="L13" s="936">
        <f t="shared" si="0"/>
        <v>0</v>
      </c>
      <c r="M13" s="936">
        <f t="shared" si="0"/>
        <v>0</v>
      </c>
      <c r="N13" s="934">
        <f t="shared" si="0"/>
        <v>5</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56</v>
      </c>
      <c r="AC13" s="934">
        <f t="shared" si="1"/>
        <v>0</v>
      </c>
      <c r="AD13" s="934">
        <f t="shared" si="1"/>
        <v>51</v>
      </c>
      <c r="AE13" s="934">
        <f t="shared" si="1"/>
        <v>0</v>
      </c>
      <c r="AF13" s="934">
        <f t="shared" si="1"/>
        <v>255</v>
      </c>
      <c r="AG13" s="934">
        <f t="shared" si="1"/>
        <v>0</v>
      </c>
      <c r="AH13" s="934">
        <f t="shared" si="1"/>
        <v>1728</v>
      </c>
      <c r="AI13" s="934">
        <f t="shared" si="1"/>
        <v>0</v>
      </c>
      <c r="AJ13" s="934">
        <f t="shared" si="1"/>
        <v>0</v>
      </c>
      <c r="AK13" s="934">
        <f t="shared" si="1"/>
        <v>0</v>
      </c>
      <c r="AL13" s="934">
        <f t="shared" si="1"/>
        <v>29</v>
      </c>
      <c r="AM13" s="934">
        <f t="shared" si="1"/>
        <v>28</v>
      </c>
      <c r="AN13" s="934">
        <f t="shared" si="1"/>
        <v>0</v>
      </c>
      <c r="AO13" s="934">
        <f t="shared" si="1"/>
        <v>0</v>
      </c>
      <c r="AP13" s="939">
        <f>IF(ISNUMBER(((Datos!L13/Datos!K13)*11)/factor_trimestre),((Datos!L13/Datos!K13)*11)/factor_trimestre," - ")</f>
        <v>8.0462427745664744</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-0.21212121212121213</v>
      </c>
      <c r="AU13" s="934" t="str">
        <f>IF(ISNUMBER((DatosP!#REF!-DatosP!#REF!+DatosP!#REF!)/(DatosP!#REF!+DatosP!#REF!-DatosP!#REF!-DatosP!#REF!)),(DatosP!#REF!-DatosP!#REF!+DatosP!#REF!)/(DatosP!#REF!+DatosP!#REF!-DatosP!#REF!-DatosP!#REF!)," - ")</f>
        <v xml:space="preserve"> - </v>
      </c>
      <c r="AV13" s="940">
        <f>SUBTOTAL(9,AV9:AV12)</f>
        <v>-2.81214848143982E-2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3</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3</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2.9702233250620349</v>
      </c>
      <c r="AQ19" s="939">
        <f>IF(ISNUMBER(((Datos!M19/Datos!L19)*11)/factor_trimestre),((Datos!M19/Datos!L19)*11)/factor_trimestre," - ")</f>
        <v>0.34285714285714286</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-3.0023094688221709E-2</v>
      </c>
      <c r="AW19" s="941">
        <f>IF(ISNUMBER((Datos!Q19-Datos!R19)/(Datos!S19-Datos!Q19+Datos!R19)),(Datos!Q19-Datos!R19)/(Datos!S19-Datos!Q19+Datos!R19)," - ")</f>
        <v>-0.1430390492359932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7</v>
      </c>
      <c r="F20" s="946">
        <f t="shared" si="4"/>
        <v>264</v>
      </c>
      <c r="G20" s="946">
        <f t="shared" si="4"/>
        <v>264</v>
      </c>
      <c r="H20" s="946">
        <f t="shared" si="4"/>
        <v>0</v>
      </c>
      <c r="I20" s="947">
        <f t="shared" si="4"/>
        <v>0</v>
      </c>
      <c r="J20" s="948">
        <f t="shared" si="4"/>
        <v>0</v>
      </c>
      <c r="K20" s="948">
        <f t="shared" si="4"/>
        <v>0</v>
      </c>
      <c r="L20" s="948">
        <f t="shared" si="4"/>
        <v>0</v>
      </c>
      <c r="M20" s="948">
        <f t="shared" si="4"/>
        <v>0</v>
      </c>
      <c r="N20" s="947">
        <f t="shared" si="4"/>
        <v>5</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56</v>
      </c>
      <c r="AC20" s="952">
        <f t="shared" si="5"/>
        <v>0</v>
      </c>
      <c r="AD20" s="952">
        <f t="shared" si="5"/>
        <v>51</v>
      </c>
      <c r="AE20" s="952">
        <f t="shared" si="5"/>
        <v>0</v>
      </c>
      <c r="AF20" s="953">
        <f t="shared" si="5"/>
        <v>255</v>
      </c>
      <c r="AG20" s="953">
        <f t="shared" si="5"/>
        <v>0</v>
      </c>
      <c r="AH20" s="953">
        <f t="shared" si="5"/>
        <v>1728</v>
      </c>
      <c r="AI20" s="953">
        <f t="shared" si="5"/>
        <v>0</v>
      </c>
      <c r="AJ20" s="954">
        <f t="shared" si="5"/>
        <v>0</v>
      </c>
      <c r="AK20" s="954">
        <f t="shared" si="5"/>
        <v>0</v>
      </c>
      <c r="AL20" s="946">
        <f t="shared" si="5"/>
        <v>29</v>
      </c>
      <c r="AM20" s="946">
        <f t="shared" si="5"/>
        <v>28</v>
      </c>
      <c r="AN20" s="946">
        <f t="shared" si="5"/>
        <v>0</v>
      </c>
      <c r="AO20" s="946">
        <f t="shared" si="5"/>
        <v>0</v>
      </c>
      <c r="AP20" s="946">
        <f>IF(ISNUMBER(((Datos!L20/Datos!K20)*11)/factor_trimestre),((Datos!L20/Datos!K20)*11)/factor_trimestre," - ")</f>
        <v>5.037069726390115</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-0.21212121212121213</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-1.3931457230426304E-4</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176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3.011090610836324</v>
      </c>
      <c r="F22" s="733">
        <f>IF(ISNUMBER(STDEV(F8:F19)),STDEV(F8:F19),"-")</f>
        <v>152.4204710660612</v>
      </c>
      <c r="G22" s="734">
        <f>IF(ISNUMBER(STDEV(G8:G19)),STDEV(G8:G19),"-")</f>
        <v>152.4204710660612</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32.331615074619044</v>
      </c>
      <c r="AC22" s="735">
        <f>IF(ISNUMBER(STDEV(AC8:AC19)),STDEV(AC8:AC19),"-")</f>
        <v>0</v>
      </c>
      <c r="AD22" s="738"/>
      <c r="AE22" s="738"/>
      <c r="AF22" s="738"/>
      <c r="AG22" s="738"/>
      <c r="AH22" s="738"/>
      <c r="AI22" s="738"/>
      <c r="AJ22" s="739">
        <f>IF(ISNUMBER(STDEV(AJ8:AJ19)),STDEV(AJ8:AJ19),"-")</f>
        <v>0</v>
      </c>
      <c r="AK22" s="741"/>
      <c r="AL22" s="733">
        <f>IF(ISNUMBER(STDEV(AL8:AL19)),STDEV(AL8:AL19),"-")</f>
        <v>15.631165450257807</v>
      </c>
      <c r="AM22" s="733"/>
      <c r="AN22" s="733">
        <f>IF(ISNUMBER(STDEV(AN8:AN19)),STDEV(AN8:AN19),"-")</f>
        <v>0</v>
      </c>
      <c r="AO22" s="739">
        <f>IF(ISNUMBER(STDEV(AO8:AO19)),STDEV(AO8:AO19),"-")</f>
        <v>0</v>
      </c>
      <c r="AP22" s="776">
        <f>IF(ISNUMBER(STDEV(AP8:AP19)),STDEV(AP8:AP19),"-")</f>
        <v>10.939133784302635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zJXrWmOcnMaM3/cxlX9Sgq8hnRlZxlaNCNoH9QbsQnN5ekbEbGqZq3zIOI2D8vcxBkuAIcCHTGxGxNP80RIsUA==" saltValue="KmzqxgTJrKUEgRvZxy9zU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EXTREMADURA</v>
      </c>
    </row>
    <row r="2" spans="1:168" ht="16.5" customHeight="1">
      <c r="C2" s="487" t="str">
        <f>Criterios!A10 &amp;"  "&amp;Criterios!B10 &amp; "  " &amp; IF(NOT(ISBLANK(Criterios!A11)),Criterios!A11 &amp;"  "&amp;Criterios!B11,"")</f>
        <v>Provincias  CACERES  Resumenes por Partidos Judiciales  CACERES</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5</v>
      </c>
      <c r="B9" s="500" t="s">
        <v>247</v>
      </c>
      <c r="C9" s="159" t="str">
        <f>Datos!A9</f>
        <v>Sección Civil del T.I</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274</v>
      </c>
      <c r="O9" s="333"/>
      <c r="P9" s="333"/>
      <c r="Q9" s="225">
        <f>IF(ISNUMBER(Datos!P9),Datos!P9,0)</f>
        <v>606</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544</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404</v>
      </c>
      <c r="AI9" s="224" t="str">
        <f>IF(ISNUMBER(Datos!CD9),Datos!CD9,"-")</f>
        <v>-</v>
      </c>
      <c r="AJ9" s="1214" t="str">
        <f>IF(ISNUMBER(Datos!EN9),Datos!EN9," - ")</f>
        <v xml:space="preserve"> - </v>
      </c>
      <c r="AK9" s="333"/>
      <c r="AL9" s="478"/>
      <c r="AM9" s="1214">
        <f>IF(ISNUMBER(Datos!R9),Datos!R9," - ")</f>
        <v>5006</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575</v>
      </c>
      <c r="BD9" s="228">
        <f>IF(ISNUMBER(Datos!N9),Datos!N9," - ")</f>
        <v>518</v>
      </c>
      <c r="BE9" s="1214" t="str">
        <f>IF(ISNUMBER(Datos!BW9),Datos!BW9," - ")</f>
        <v xml:space="preserve"> - </v>
      </c>
      <c r="BF9" s="1214" t="str">
        <f>IF(ISNUMBER(Datos!BX9),Datos!BX9," - ")</f>
        <v xml:space="preserve"> - </v>
      </c>
      <c r="BG9" s="242">
        <f>IF(ISNUMBER(IF(J_V="SI",Datos!K9/Datos!J9,(Datos!K9+Datos!AA9)/(Datos!J9+Datos!Z9))),IF(J_V="SI",Datos!K9/Datos!J9,(Datos!K9+Datos!AA9)/(Datos!J9+Datos!Z9))," - ")</f>
        <v>0.80660134089736979</v>
      </c>
      <c r="BH9" s="1214">
        <f>IF(ISNUMBER(((IF(J_V="SI",Datos!L9/Datos!K9,(Datos!L9+Datos!AB9)/(Datos!K9+Datos!AA9)))*11)/factor_trimestre),((IF(J_V="SI",Datos!L9/Datos!K9,(Datos!L9+Datos!AB9)/(Datos!K9+Datos!AA9)))*11)/factor_trimestre," - ")</f>
        <v>7.3158567774936065</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1.2540453074433657E-2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641.63838978859212</v>
      </c>
      <c r="CF9" s="228">
        <f ca="1">AVERAGEIFS($AB:$AB,$BW:$BW,BW9,$BX:$BX,BX9)</f>
        <v>641.63838978859212</v>
      </c>
      <c r="CG9" s="1191">
        <v>0.7</v>
      </c>
      <c r="CH9" s="1191">
        <f ca="1">AVERAGEIF($BW:$BW,$BW9,$AC:$AC)</f>
        <v>170.5</v>
      </c>
      <c r="CI9" s="228">
        <f ca="1">AVERAGEIFS($AC:$AC,$BW:$BW,$BW9,$BX:$BX,$BX9)</f>
        <v>170.5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675</v>
      </c>
      <c r="CR9" s="228">
        <f ca="1">AVERAGEIFS($AF:$AF,$BW:$BW,BW9,$BX:$BX,BX9)</f>
        <v>675</v>
      </c>
      <c r="CS9" s="1191">
        <v>1.3</v>
      </c>
      <c r="CT9" s="1191">
        <v>1.5</v>
      </c>
      <c r="CU9" s="1191">
        <f ca="1">AVERAGEIF($BW:$BW,$BW9,$AH:$AH)</f>
        <v>158.625</v>
      </c>
      <c r="CV9" s="228">
        <f ca="1">AVERAGEIFS($AH:$AH,$BW:$BW,$BW9,$BX:$BX,$BX9)</f>
        <v>158.625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1794.25</v>
      </c>
      <c r="DH9" s="1218">
        <f ca="1">AVERAGEIFS($AM:$AM,$BW:$BW,$BW9,$BX:$BX,$BX9)</f>
        <v>1794.25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6.3595501066690607</v>
      </c>
      <c r="ER9" s="1218">
        <f ca="1">AVERAGEIFS($BH:$BH,$BW:$BW,$BW9,$BX:$BX,$BX9)</f>
        <v>6.3595501066690607</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3</v>
      </c>
      <c r="B10" s="506" t="s">
        <v>247</v>
      </c>
      <c r="C10" s="7" t="str">
        <f>Datos!A10</f>
        <v>Sección De Violencia sobre la Mujer del TI</v>
      </c>
      <c r="D10" s="507"/>
      <c r="E10" s="259">
        <f>IF(ISNUMBER(Datos!AQ10),Datos!AQ10," - ")</f>
        <v>2</v>
      </c>
      <c r="F10" s="224">
        <f>IF(ISNUMBER(Datos!L10+Datos!K10-Datos!J10),Datos!L10+Datos!K10-Datos!J10," - ")</f>
        <v>264</v>
      </c>
      <c r="G10" s="332">
        <f>IF(ISNUMBER(Datos!I10),Datos!I10," - ")</f>
        <v>264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56</v>
      </c>
      <c r="AC10" s="224">
        <f>IF(ISNUMBER(Datos!Q10),Datos!Q10," - ")</f>
        <v>4</v>
      </c>
      <c r="AD10" s="224"/>
      <c r="AE10" s="224"/>
      <c r="AF10" s="224">
        <f>IF(ISNUMBER(Datos!L10),Datos!L10,"-")</f>
        <v>255</v>
      </c>
      <c r="AG10" s="333"/>
      <c r="AH10" s="224"/>
      <c r="AI10" s="224"/>
      <c r="AJ10" s="1214"/>
      <c r="AK10" s="333"/>
      <c r="AL10" s="478"/>
      <c r="AM10" s="1214">
        <f>IF(ISNUMBER(Datos!R10),Datos!R10," - ")</f>
        <v>23</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27</v>
      </c>
      <c r="BD10" s="228">
        <f>IF(ISNUMBER(Datos!N10),Datos!N10," - ")</f>
        <v>22</v>
      </c>
      <c r="BE10" s="1214" t="str">
        <f>IF(ISNUMBER(Datos!BW10),Datos!BW10," - ")</f>
        <v xml:space="preserve"> - </v>
      </c>
      <c r="BF10" s="1214" t="str">
        <f>IF(ISNUMBER(Datos!BX10),Datos!BX10," - ")</f>
        <v xml:space="preserve"> - </v>
      </c>
      <c r="BG10" s="242">
        <f>IF(ISNUMBER(Datos!K10/Datos!J10),Datos!K10/Datos!J10," - ")</f>
        <v>1.1914893617021276</v>
      </c>
      <c r="BH10" s="1214">
        <f>IF(ISNUMBER(((Datos!L10/Datos!K10)*11)/factor_trimestre),((Datos!L10/Datos!K10)*11)/factor_trimestre," - ")</f>
        <v>13.660714285714286</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641.63838978859212</v>
      </c>
      <c r="CF10" s="228">
        <f ca="1">AVERAGEIFS($AB:$AB,$BW:$BW,BW10,$BX:$BX,BX10)</f>
        <v>641.63838978859212</v>
      </c>
      <c r="CG10" s="1191">
        <v>0.7</v>
      </c>
      <c r="CH10" s="1191">
        <f ca="1">AVERAGEIF($BW:$BW,BW10,$AC:$AC)</f>
        <v>170.5</v>
      </c>
      <c r="CI10" s="228">
        <f ca="1">AVERAGEIFS($AC:$AC,$BW:$BW,BW10,$BX:$BX,BX10)</f>
        <v>170.5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675</v>
      </c>
      <c r="CR10" s="228">
        <f ca="1">AVERAGEIFS($AF:$AF,$BW:$BW,BW10,$BX:$BX,BX10)</f>
        <v>675</v>
      </c>
      <c r="CS10" s="1191">
        <v>1.3</v>
      </c>
      <c r="CT10" s="1191">
        <v>1.5</v>
      </c>
      <c r="CU10" s="1191">
        <f ca="1">AVERAGEIF($BW:$BW,$BW10,$AH:$AH)</f>
        <v>158.625</v>
      </c>
      <c r="CV10" s="228">
        <f ca="1">AVERAGEIFS($AH:$AH,$BW:$BW,$BW10,$BX:$BX,$BX10)</f>
        <v>158.625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1794.25</v>
      </c>
      <c r="DH10" s="1218">
        <f ca="1">AVERAGEIFS($AM:$AM,$BW:$BW,$BW10,$BX:$BX,$BX10)</f>
        <v>1794.25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6.3595501066690607</v>
      </c>
      <c r="ER10" s="1218">
        <f ca="1">AVERAGEIFS($BH:$BH,$BW:$BW,$BW10,$BX:$BX,$BX10)</f>
        <v>6.3595501066690607</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641.63838978859212</v>
      </c>
      <c r="CF11" s="228">
        <f ca="1">AVERAGEIFS($AB:$AB,$BW:$BW,BW11,$BX:$BX,BX11)</f>
        <v>641.63838978859212</v>
      </c>
      <c r="CG11" s="1191">
        <v>0.7</v>
      </c>
      <c r="CH11" s="1191">
        <f ca="1">AVERAGEIF($BW:$BW,BW11,$AC:$AC)</f>
        <v>170.5</v>
      </c>
      <c r="CI11" s="228">
        <f ca="1">AVERAGEIFS($AC:$AC,$BW:$BW,BW11,$BX:$BX,BX11)</f>
        <v>170.5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675</v>
      </c>
      <c r="CR11" s="228">
        <f ca="1">AVERAGEIFS($AF:$AF,$BW:$BW,BW11,$BX:$BX,BX11)</f>
        <v>675</v>
      </c>
      <c r="CS11" s="1191">
        <v>1.3</v>
      </c>
      <c r="CT11" s="1191">
        <v>1.5</v>
      </c>
      <c r="CU11" s="1191">
        <f ca="1">AVERAGEIF($BW:$BW,$BW11,$AH:$AH)</f>
        <v>158.625</v>
      </c>
      <c r="CV11" s="228">
        <f ca="1">AVERAGEIFS($AH:$AH,$BW:$BW,$BW11,$BX:$BX,$BX11)</f>
        <v>158.625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1794.25</v>
      </c>
      <c r="DH11" s="1218">
        <f ca="1">AVERAGEIFS($AM:$AM,$BW:$BW,$BW11,$BX:$BX,$BX11)</f>
        <v>1794.25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6.3595501066690607</v>
      </c>
      <c r="ER11" s="1218">
        <f ca="1">AVERAGEIFS($BH:$BH,$BW:$BW,$BW11,$BX:$BX,$BX11)</f>
        <v>6.3595501066690607</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0</v>
      </c>
      <c r="O12" s="333"/>
      <c r="P12" s="333"/>
      <c r="Q12" s="225">
        <f>IF(ISNUMBER(Datos!P12),Datos!P12,0)</f>
        <v>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51</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19</v>
      </c>
      <c r="AI12" s="224" t="str">
        <f>IF(ISNUMBER(Datos!CD12),Datos!CD12,"-")</f>
        <v>-</v>
      </c>
      <c r="AJ12" s="1214" t="str">
        <f>IF(ISNUMBER(Datos!EN12),Datos!EN12," - ")</f>
        <v xml:space="preserve"> - </v>
      </c>
      <c r="AK12" s="333"/>
      <c r="AL12" s="478"/>
      <c r="AM12" s="1214">
        <f>IF(ISNUMBER(Datos!R12),Datos!R12," - ")</f>
        <v>1728</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v>
      </c>
      <c r="BD12" s="228">
        <f>IF(ISNUMBER(Datos!N12),Datos!N12," - ")</f>
        <v>6</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v>
      </c>
      <c r="BH12" s="1214">
        <f>IF(ISNUMBER(((IF(J_V="SI",Datos!L12/Datos!K12,(Datos!L12+Datos!AB12)/(Datos!K12+Datos!AA12)))*11)/factor_trimestre),((IF(J_V="SI",Datos!L12/Datos!K12,(Datos!L12+Datos!AB12)/(Datos!K12+Datos!AA12)))*11)/factor_trimestre," - ")</f>
        <v>28.285714285714288</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-2.81214848143982E-2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641.63838978859212</v>
      </c>
      <c r="CF12" s="228">
        <f ca="1">AVERAGEIFS($AB:$AB,$BW:$BW,BW12,$BX:$BX,BX12)</f>
        <v>641.63838978859212</v>
      </c>
      <c r="CG12" s="1191">
        <v>0.7</v>
      </c>
      <c r="CH12" s="1191">
        <f ca="1">AVERAGEIF($BW:$BW,BW12,$AC:$AC)</f>
        <v>170.5</v>
      </c>
      <c r="CI12" s="228">
        <f ca="1">AVERAGEIFS($AC:$AC,$BW:$BW,BW12,$BX:$BX,BX12)</f>
        <v>170.5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675</v>
      </c>
      <c r="CR12" s="228">
        <f ca="1">AVERAGEIFS($AF:$AF,$BW:$BW,BW12,$BX:$BX,BX12)</f>
        <v>675</v>
      </c>
      <c r="CS12" s="1191">
        <v>1.3</v>
      </c>
      <c r="CT12" s="1191">
        <v>1.5</v>
      </c>
      <c r="CU12" s="1191">
        <f ca="1">AVERAGEIF($BW:$BW,$BW12,$AH:$AH)</f>
        <v>158.625</v>
      </c>
      <c r="CV12" s="228">
        <f ca="1">AVERAGEIFS($AH:$AH,$BW:$BW,$BW12,$BX:$BX,$BX12)</f>
        <v>158.625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1794.25</v>
      </c>
      <c r="DH12" s="1218">
        <f ca="1">AVERAGEIFS($AM:$AM,$BW:$BW,$BW12,$BX:$BX,$BX12)</f>
        <v>1794.25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6.3595501066690607</v>
      </c>
      <c r="ER12" s="1218">
        <f ca="1">AVERAGEIFS($BH:$BH,$BW:$BW,$BW12,$BX:$BX,$BX12)</f>
        <v>6.3595501066690607</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7</v>
      </c>
      <c r="F13" s="895">
        <f t="shared" si="1"/>
        <v>264</v>
      </c>
      <c r="G13" s="895">
        <f t="shared" si="1"/>
        <v>264</v>
      </c>
      <c r="H13" s="896">
        <f t="shared" si="1"/>
        <v>0</v>
      </c>
      <c r="I13" s="895">
        <f t="shared" si="1"/>
        <v>0</v>
      </c>
      <c r="J13" s="864">
        <f t="shared" si="1"/>
        <v>0</v>
      </c>
      <c r="K13" s="864">
        <f t="shared" si="1"/>
        <v>0</v>
      </c>
      <c r="L13" s="896">
        <f t="shared" si="1"/>
        <v>0</v>
      </c>
      <c r="M13" s="896">
        <f t="shared" si="1"/>
        <v>0</v>
      </c>
      <c r="N13" s="896">
        <f t="shared" si="1"/>
        <v>274</v>
      </c>
      <c r="O13" s="897">
        <f t="shared" si="1"/>
        <v>0</v>
      </c>
      <c r="P13" s="897">
        <f t="shared" si="1"/>
        <v>0</v>
      </c>
      <c r="Q13" s="896">
        <f t="shared" si="1"/>
        <v>611</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56</v>
      </c>
      <c r="AC13" s="896">
        <f t="shared" si="2"/>
        <v>599</v>
      </c>
      <c r="AD13" s="896">
        <f t="shared" si="2"/>
        <v>0</v>
      </c>
      <c r="AE13" s="896">
        <f t="shared" si="2"/>
        <v>0</v>
      </c>
      <c r="AF13" s="896">
        <f t="shared" si="2"/>
        <v>255</v>
      </c>
      <c r="AG13" s="896">
        <f t="shared" si="2"/>
        <v>0</v>
      </c>
      <c r="AH13" s="896">
        <f t="shared" si="2"/>
        <v>423</v>
      </c>
      <c r="AI13" s="896">
        <f t="shared" si="2"/>
        <v>0</v>
      </c>
      <c r="AJ13" s="896">
        <f t="shared" si="2"/>
        <v>0</v>
      </c>
      <c r="AK13" s="896">
        <f t="shared" si="2"/>
        <v>0</v>
      </c>
      <c r="AL13" s="896">
        <f t="shared" si="2"/>
        <v>0</v>
      </c>
      <c r="AM13" s="896">
        <f t="shared" si="2"/>
        <v>6757</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604</v>
      </c>
      <c r="BD13" s="896">
        <f t="shared" si="2"/>
        <v>546</v>
      </c>
      <c r="BE13" s="896">
        <f t="shared" si="2"/>
        <v>0</v>
      </c>
      <c r="BF13" s="896">
        <f t="shared" si="2"/>
        <v>0</v>
      </c>
      <c r="BG13" s="896">
        <f>IF(ISNUMBER(Datos!K13/Datos!J13),Datos!K13/Datos!J13," - ")</f>
        <v>0.80511925538103546</v>
      </c>
      <c r="BH13" s="900">
        <f>IF(ISNUMBER(((Datos!L13/Datos!K13)*11)/factor_trimestre),((Datos!L13/Datos!K13)*11)/factor_trimestre," - ")</f>
        <v>8.0462427745664744</v>
      </c>
      <c r="BI13" s="896">
        <f>IF(ISNUMBER('Resol  Asuntos'!D13/NºAsuntos!G13),'Resol  Asuntos'!D13/NºAsuntos!G13," - ")</f>
        <v>0.37123540258143822</v>
      </c>
      <c r="BJ13" s="896" t="str">
        <f>IF(ISNUMBER(Datos!CI13/Datos!CJ13),Datos!CI13/Datos!CJ13," - ")</f>
        <v xml:space="preserve"> - </v>
      </c>
      <c r="BK13" s="896">
        <f>SUBTOTAL(9,BK8:BK12)</f>
        <v>0</v>
      </c>
      <c r="BL13" s="896">
        <f>IF(ISNUMBER((I13-AB13+L13)/(F13)),(I13-AB13+L13)/(F13)," - ")</f>
        <v>-0.21212121212121213</v>
      </c>
      <c r="BM13" s="901">
        <f>SUBTOTAL(9,BM9:BM12)</f>
        <v>-1.5581031739964543E-2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3</v>
      </c>
      <c r="B15" s="593" t="s">
        <v>397</v>
      </c>
      <c r="C15" s="598" t="str">
        <f>Datos!A15</f>
        <v xml:space="preserve">Seccion Instruccion Del T.I.                   </v>
      </c>
      <c r="D15" s="599"/>
      <c r="E15" s="1160">
        <f>IF(ISNUMBER(Datos!AQ15),Datos!AQ15," - ")</f>
        <v>3</v>
      </c>
      <c r="F15" s="594">
        <f>IF(ISNUMBER(AF15+AB15-Datos!J15-L15),AF15+AB15-Datos!J15-L15," - ")</f>
        <v>1876</v>
      </c>
      <c r="G15" s="596">
        <f>IF(ISNUMBER(IF(D_I="SI",Datos!I15,Datos!I15+Datos!AC15)),IF(D_I="SI",Datos!I15,Datos!I15+Datos!AC15)," - ")</f>
        <v>1883</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64</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1426</v>
      </c>
      <c r="AC15" s="224">
        <f>IF(ISNUMBER(Datos!Q15),Datos!Q15," - ")</f>
        <v>83</v>
      </c>
      <c r="AD15" s="224"/>
      <c r="AE15" s="224"/>
      <c r="AF15" s="224">
        <f>IF(ISNUMBER(IF(D_I="SI",Datos!L15,Datos!L15+Datos!AF15)),IF(D_I="SI",Datos!L15,Datos!L15+Datos!AF15)," - ")</f>
        <v>1743</v>
      </c>
      <c r="AG15" s="333"/>
      <c r="AH15" s="224"/>
      <c r="AI15" s="224"/>
      <c r="AJ15" s="1214"/>
      <c r="AK15" s="333"/>
      <c r="AL15" s="478"/>
      <c r="AM15" s="1214">
        <f>IF(ISNUMBER(Datos!R15),Datos!R15," - ")</f>
        <v>373</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168</v>
      </c>
      <c r="BD15" s="228">
        <f>IF(ISNUMBER(Datos!N15),Datos!N15," - ")</f>
        <v>798</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1.102861562258314</v>
      </c>
      <c r="BH15" s="1214">
        <f>IF(ISNUMBER(((IF(D_I="SI",Datos!L15/Datos!K15,(Datos!L15+Datos!AF15)/(Datos!K15+Datos!AE15)))*11)/factor_trimestre),((IF(D_I="SI",Datos!L15/Datos!K15,(Datos!L15+Datos!AF15)/(Datos!K15+Datos!AE15)))*11)/factor_trimestre," - ")</f>
        <v>3.6669004207573637</v>
      </c>
      <c r="BI15" s="242">
        <f>IF(ISNUMBER('Resol  Asuntos'!D15/NºAsuntos!G15),'Resol  Asuntos'!D15/NºAsuntos!G15," - ")</f>
        <v>0.11781206171107994</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641.63838978859212</v>
      </c>
      <c r="CF15" s="228">
        <f ca="1">AVERAGEIFS($AB:$AB,$BW:$BW,BW15,$BX:$BX,BX15)</f>
        <v>641.63838978859212</v>
      </c>
      <c r="CG15" s="1191">
        <v>0.7</v>
      </c>
      <c r="CH15" s="1191">
        <f ca="1">AVERAGEIF($BW:$BW,BW15,$AC:$AC)</f>
        <v>170.5</v>
      </c>
      <c r="CI15" s="228">
        <f ca="1">AVERAGEIFS($AC:$AC,$BW:$BW,BW15,$BX:$BX,BX15)</f>
        <v>170.5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675</v>
      </c>
      <c r="CR15" s="228">
        <f ca="1">AVERAGEIFS($AF:$AF,$BW:$BW,BW15,$BX:$BX,BX15)</f>
        <v>675</v>
      </c>
      <c r="CS15" s="1191">
        <v>1.3</v>
      </c>
      <c r="CT15" s="1191">
        <v>1.5</v>
      </c>
      <c r="CU15" s="1191">
        <f ca="1">AVERAGEIF($BW:$BW,$BW15,$AH:$AH)</f>
        <v>158.625</v>
      </c>
      <c r="CV15" s="228">
        <f ca="1">AVERAGEIFS($AH:$AH,$BW:$BW,$BW15,$BX:$BX,$BX15)</f>
        <v>158.625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1794.25</v>
      </c>
      <c r="DH15" s="1218">
        <f ca="1">AVERAGEIFS($AM:$AM,$BW:$BW,$BW15,$BX:$BX,$BX15)</f>
        <v>1794.25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6.3595501066690607</v>
      </c>
      <c r="ER15" s="1218">
        <f ca="1">AVERAGEIFS($BH:$BH,$BW:$BW,$BW15,$BX:$BX,$BX15)</f>
        <v>6.3595501066690607</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641.63838978859212</v>
      </c>
      <c r="CF16" s="1218">
        <f ca="1">AVERAGEIFS($AB:$AB,$BW:$BW,BW16,$BX:$BX,BX16)</f>
        <v>641.63838978859212</v>
      </c>
      <c r="CG16" s="1191">
        <v>0.7</v>
      </c>
      <c r="CH16" s="1191">
        <f ca="1">AVERAGEIF($BW:$BW,BW16,$AC:$AC)</f>
        <v>170.5</v>
      </c>
      <c r="CI16" s="1218">
        <f ca="1">AVERAGEIFS($AC:$AC,$BW:$BW,BW16,$BX:$BX,BX16)</f>
        <v>170.5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675</v>
      </c>
      <c r="CR16" s="1218">
        <f ca="1">AVERAGEIFS($AF:$AF,$BW:$BW,BW16,$BX:$BX,BX16)</f>
        <v>675</v>
      </c>
      <c r="CS16" s="1191">
        <v>1.3</v>
      </c>
      <c r="CT16" s="1191">
        <v>1.5</v>
      </c>
      <c r="CU16" s="1191">
        <f ca="1">AVERAGEIF($BW:$BW,$BW16,$AH:$AH)</f>
        <v>158.625</v>
      </c>
      <c r="CV16" s="1218">
        <f ca="1">AVERAGEIFS($AH:$AH,$BW:$BW,$BW16,$BX:$BX,$BX16)</f>
        <v>158.625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1794.25</v>
      </c>
      <c r="DH16" s="1218">
        <f ca="1">AVERAGEIFS($AM:$AM,$BW:$BW,$BW16,$BX:$BX,$BX16)</f>
        <v>1794.25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6.3595501066690607</v>
      </c>
      <c r="ER16" s="1218">
        <f ca="1">AVERAGEIFS($BH:$BH,$BW:$BW,$BW16,$BX:$BX,$BX16)</f>
        <v>6.3595501066690607</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f>IF(ISNUMBER(AF17+AB17-Datos!J17-L17),AF17+AB17-Datos!J17-L17," - ")</f>
        <v>33</v>
      </c>
      <c r="G17" s="596">
        <f>IF(ISNUMBER(IF(D_I="SI",Datos!I17,Datos!I17+Datos!AC17)),IF(D_I="SI",Datos!I17,Datos!I17+Datos!AC17)," - ")</f>
        <v>33</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15</v>
      </c>
      <c r="AC17" s="224">
        <f>IF(ISNUMBER(Datos!Q17),Datos!Q17," - ")</f>
        <v>0</v>
      </c>
      <c r="AD17" s="224"/>
      <c r="AE17" s="224"/>
      <c r="AF17" s="224">
        <f>IF(ISNUMBER(IF(D_I="SI",Datos!L17,Datos!L17+Datos!AF17)),IF(D_I="SI",Datos!L17,Datos!L17+Datos!AF17)," - ")</f>
        <v>18</v>
      </c>
      <c r="AG17" s="333"/>
      <c r="AH17" s="224"/>
      <c r="AI17" s="224"/>
      <c r="AJ17" s="1214"/>
      <c r="AK17" s="333"/>
      <c r="AL17" s="478"/>
      <c r="AM17" s="1214">
        <f>IF(ISNUMBER(Datos!R17),Datos!R17," - ")</f>
        <v>23</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0</v>
      </c>
      <c r="BD17" s="228">
        <f>IF(ISNUMBER(Datos!N17),Datos!N17," - ")</f>
        <v>1</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f>IF(ISNUMBER(((IF(D_I="SI",Datos!L17/Datos!K17,(Datos!L17+Datos!AF17)/(Datos!K17+Datos!AE17)))*11)/factor_trimestre),((IF(D_I="SI",Datos!L17/Datos!K17,(Datos!L17+Datos!AF17)/(Datos!K17+Datos!AE17)))*11)/factor_trimestre," - ")</f>
        <v>3.6</v>
      </c>
      <c r="BI17" s="242">
        <f>IF(ISNUMBER('Resol  Asuntos'!D17/NºAsuntos!G17),'Resol  Asuntos'!D17/NºAsuntos!G17," - ")</f>
        <v>0</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641.63838978859212</v>
      </c>
      <c r="CF17" s="228">
        <f ca="1">AVERAGEIFS($AB:$AB,$BW:$BW,BW17,$BX:$BX,BX17)</f>
        <v>641.63838978859212</v>
      </c>
      <c r="CG17" s="1191">
        <v>0.7</v>
      </c>
      <c r="CH17" s="1191">
        <f ca="1">AVERAGEIF($BW:$BW,BW17,$AC:$AC)</f>
        <v>170.5</v>
      </c>
      <c r="CI17" s="228">
        <f ca="1">AVERAGEIFS($AC:$AC,$BW:$BW,BW17,$BX:$BX,BX17)</f>
        <v>170.5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675</v>
      </c>
      <c r="CR17" s="228">
        <f ca="1">AVERAGEIFS($AF:$AF,$BW:$BW,BW17,$BX:$BX,BX17)</f>
        <v>675</v>
      </c>
      <c r="CS17" s="1191">
        <v>1.3</v>
      </c>
      <c r="CT17" s="1191">
        <v>1.5</v>
      </c>
      <c r="CU17" s="1191">
        <f ca="1">AVERAGEIF($BW:$BW,$BW17,$AH:$AH)</f>
        <v>158.625</v>
      </c>
      <c r="CV17" s="228">
        <f ca="1">AVERAGEIFS($AH:$AH,$BW:$BW,$BW17,$BX:$BX,$BX17)</f>
        <v>158.625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1794.25</v>
      </c>
      <c r="DH17" s="1218">
        <f ca="1">AVERAGEIFS($AM:$AM,$BW:$BW,$BW17,$BX:$BX,$BX17)</f>
        <v>1794.25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6.3595501066690607</v>
      </c>
      <c r="ER17" s="1218">
        <f ca="1">AVERAGEIFS($BH:$BH,$BW:$BW,$BW17,$BX:$BX,$BX17)</f>
        <v>6.3595501066690607</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3</v>
      </c>
      <c r="B18" s="506" t="s">
        <v>397</v>
      </c>
      <c r="C18" s="7" t="str">
        <f>Datos!A18</f>
        <v>Sección De Violencia sobre la Mujer del TI</v>
      </c>
      <c r="D18" s="507"/>
      <c r="E18" s="1020">
        <f>IF(ISNUMBER(Datos!AQ18),Datos!AQ18," - ")</f>
        <v>2</v>
      </c>
      <c r="F18" s="224" t="str">
        <f>IF(ISNUMBER(AF18+AB18-I18-L18),AF18+AB18-I18-L18," - ")</f>
        <v xml:space="preserve"> - </v>
      </c>
      <c r="G18" s="332">
        <f>IF(ISNUMBER(IF(D_I="SI",Datos!I18,Datos!I18+Datos!AC18)),IF(D_I="SI",Datos!I18,Datos!I18+Datos!AC18)," - ")</f>
        <v>311</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6</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574</v>
      </c>
      <c r="AC18" s="224">
        <f>IF(ISNUMBER(Datos!Q18),Datos!Q18," - ")</f>
        <v>0</v>
      </c>
      <c r="AD18" s="224"/>
      <c r="AE18" s="224"/>
      <c r="AF18" s="224">
        <f>IF(ISNUMBER(Datos!L18),Datos!L18,"-")</f>
        <v>234</v>
      </c>
      <c r="AG18" s="333"/>
      <c r="AH18" s="224"/>
      <c r="AI18" s="224"/>
      <c r="AJ18" s="1214"/>
      <c r="AK18" s="333"/>
      <c r="AL18" s="478"/>
      <c r="AM18" s="1214">
        <f>IF(ISNUMBER(Datos!R18),Datos!R18," - ")</f>
        <v>24</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60</v>
      </c>
      <c r="BD18" s="228">
        <f>IF(ISNUMBER(Datos!N18),Datos!N18," - ")</f>
        <v>250</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1.0996168582375478</v>
      </c>
      <c r="BH18" s="1214">
        <f>IF(ISNUMBER(((IF(D_I="SI",Datos!L18/Datos!K18,(Datos!L18+Datos!AF18)/(Datos!K18+Datos!AE18)))*11)/factor_trimestre),((IF(D_I="SI",Datos!L18/Datos!K18,(Datos!L18+Datos!AF18)/(Datos!K18+Datos!AE18)))*11)/factor_trimestre," - ")</f>
        <v>1.2229965156794425</v>
      </c>
      <c r="BI18" s="242">
        <f>IF(ISNUMBER('Resol  Asuntos'!D18/NºAsuntos!G18),'Resol  Asuntos'!D18/NºAsuntos!G18," - ")</f>
        <v>0.10452961672473868</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641.63838978859212</v>
      </c>
      <c r="CF18" s="228">
        <f ca="1">AVERAGEIFS($AB:$AB,$BW:$BW,BW18,$BX:$BX,BX18)</f>
        <v>641.63838978859212</v>
      </c>
      <c r="CG18" s="1191">
        <v>0.7</v>
      </c>
      <c r="CH18" s="1191">
        <f ca="1">AVERAGEIF($BW:$BW,BW18,$AC:$AC)</f>
        <v>170.5</v>
      </c>
      <c r="CI18" s="228">
        <f ca="1">AVERAGEIFS($AC:$AC,$BW:$BW,BW18,$BX:$BX,BX18)</f>
        <v>170.5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675</v>
      </c>
      <c r="CR18" s="228">
        <f ca="1">AVERAGEIFS($AF:$AF,$BW:$BW,BW18,$BX:$BX,BX18)</f>
        <v>675</v>
      </c>
      <c r="CS18" s="1191">
        <v>1.3</v>
      </c>
      <c r="CT18" s="1191">
        <v>1.5</v>
      </c>
      <c r="CU18" s="1191">
        <f ca="1">AVERAGEIF($BW:$BW,$BW18,$AH:$AH)</f>
        <v>158.625</v>
      </c>
      <c r="CV18" s="228">
        <f ca="1">AVERAGEIFS($AH:$AH,$BW:$BW,$BW18,$BX:$BX,$BX18)</f>
        <v>158.625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1794.25</v>
      </c>
      <c r="DH18" s="1218">
        <f ca="1">AVERAGEIFS($AM:$AM,$BW:$BW,$BW18,$BX:$BX,$BX18)</f>
        <v>1794.25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6.3595501066690607</v>
      </c>
      <c r="ER18" s="1218">
        <f ca="1">AVERAGEIFS($BH:$BH,$BW:$BW,$BW18,$BX:$BX,$BX18)</f>
        <v>6.3595501066690607</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5</v>
      </c>
      <c r="F19" s="895">
        <f>SUBTOTAL(9,F15:F18)</f>
        <v>1909</v>
      </c>
      <c r="G19" s="895">
        <f>SUBTOTAL(9,G15:G18)</f>
        <v>2227</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70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2015</v>
      </c>
      <c r="AC19" s="896">
        <f t="shared" si="5"/>
        <v>83</v>
      </c>
      <c r="AD19" s="896">
        <f t="shared" si="5"/>
        <v>0</v>
      </c>
      <c r="AE19" s="896">
        <f t="shared" si="5"/>
        <v>0</v>
      </c>
      <c r="AF19" s="896">
        <f t="shared" si="5"/>
        <v>1995</v>
      </c>
      <c r="AG19" s="896">
        <f t="shared" si="5"/>
        <v>0</v>
      </c>
      <c r="AH19" s="896">
        <f t="shared" si="5"/>
        <v>0</v>
      </c>
      <c r="AI19" s="896">
        <f t="shared" si="5"/>
        <v>0</v>
      </c>
      <c r="AJ19" s="896">
        <f t="shared" si="5"/>
        <v>0</v>
      </c>
      <c r="AK19" s="896">
        <f t="shared" si="5"/>
        <v>0</v>
      </c>
      <c r="AL19" s="896">
        <f t="shared" si="5"/>
        <v>0</v>
      </c>
      <c r="AM19" s="896">
        <f t="shared" si="5"/>
        <v>420</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228</v>
      </c>
      <c r="BD19" s="896">
        <f t="shared" si="5"/>
        <v>1049</v>
      </c>
      <c r="BE19" s="896">
        <f t="shared" si="5"/>
        <v>0</v>
      </c>
      <c r="BF19" s="896">
        <f t="shared" si="5"/>
        <v>0</v>
      </c>
      <c r="BG19" s="896">
        <f>IF(ISNUMBER(Datos!K19/Datos!J19),Datos!K19/Datos!J19," - ")</f>
        <v>1.1101928374655647</v>
      </c>
      <c r="BH19" s="900">
        <f>IF(ISNUMBER(((Datos!L19/Datos!K19)*11)/factor_trimestre),((Datos!L19/Datos!K19)*11)/factor_trimestre," - ")</f>
        <v>2.9702233250620349</v>
      </c>
      <c r="BI19" s="896">
        <f>SUBTOTAL(9,BI15:BI18)</f>
        <v>0.22234167843581862</v>
      </c>
      <c r="BJ19" s="896">
        <f>SUBTOTAL(9,BJ15:BJ18)</f>
        <v>0</v>
      </c>
      <c r="BK19" s="896">
        <f>SUBTOTAL(9,BK15:BK18)</f>
        <v>0</v>
      </c>
      <c r="BL19" s="896">
        <f>IF(ISNUMBER((I19-AB19+L19)/(F19)),(I19-AB19+L19)/(F19)," - ")</f>
        <v>-1.0555264536406495</v>
      </c>
      <c r="BM19" s="902">
        <f>IF(ISNUMBER((Datos!P19-Datos!Q19)/(Datos!R19-Datos!P19+Datos!Q19)),(Datos!P19-Datos!Q19)/(Datos!R19-Datos!P19+Datos!Q19)," - ")</f>
        <v>-3.0023094688221709E-2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12</v>
      </c>
      <c r="F20" s="817">
        <f t="shared" si="7"/>
        <v>2173</v>
      </c>
      <c r="G20" s="817">
        <f t="shared" si="7"/>
        <v>2491</v>
      </c>
      <c r="H20" s="819">
        <f t="shared" si="7"/>
        <v>0</v>
      </c>
      <c r="I20" s="817">
        <f t="shared" si="7"/>
        <v>0</v>
      </c>
      <c r="J20" s="819">
        <f t="shared" si="7"/>
        <v>0</v>
      </c>
      <c r="K20" s="819">
        <f t="shared" si="7"/>
        <v>0</v>
      </c>
      <c r="L20" s="878">
        <f t="shared" si="7"/>
        <v>0</v>
      </c>
      <c r="M20" s="878">
        <f t="shared" si="7"/>
        <v>0</v>
      </c>
      <c r="N20" s="878">
        <f t="shared" si="7"/>
        <v>274</v>
      </c>
      <c r="O20" s="878">
        <f t="shared" si="7"/>
        <v>0</v>
      </c>
      <c r="P20" s="878">
        <f t="shared" si="7"/>
        <v>0</v>
      </c>
      <c r="Q20" s="819">
        <f t="shared" si="7"/>
        <v>681</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2071</v>
      </c>
      <c r="AC20" s="818">
        <f t="shared" si="8"/>
        <v>682</v>
      </c>
      <c r="AD20" s="818">
        <f t="shared" si="8"/>
        <v>0</v>
      </c>
      <c r="AE20" s="818">
        <f t="shared" si="8"/>
        <v>0</v>
      </c>
      <c r="AF20" s="825">
        <f t="shared" si="8"/>
        <v>2250</v>
      </c>
      <c r="AG20" s="825">
        <f t="shared" si="8"/>
        <v>0</v>
      </c>
      <c r="AH20" s="825">
        <f t="shared" si="8"/>
        <v>423</v>
      </c>
      <c r="AI20" s="825">
        <f t="shared" si="8"/>
        <v>0</v>
      </c>
      <c r="AJ20" s="818">
        <f t="shared" si="8"/>
        <v>0</v>
      </c>
      <c r="AK20" s="825">
        <f t="shared" si="8"/>
        <v>0</v>
      </c>
      <c r="AL20" s="825">
        <f t="shared" si="8"/>
        <v>0</v>
      </c>
      <c r="AM20" s="825">
        <f t="shared" si="8"/>
        <v>7177</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832</v>
      </c>
      <c r="BD20" s="817">
        <f t="shared" si="8"/>
        <v>1595</v>
      </c>
      <c r="BE20" s="817">
        <f t="shared" si="8"/>
        <v>0</v>
      </c>
      <c r="BF20" s="827">
        <f t="shared" si="8"/>
        <v>0</v>
      </c>
      <c r="BG20" s="912">
        <f>IF(ISNUMBER(Datos!K20/Datos!J20),Datos!K20/Datos!J20," - ")</f>
        <v>0.96179966044142617</v>
      </c>
      <c r="BH20" s="912">
        <f>IF(ISNUMBER(((Datos!L20/Datos!K20)*11)/factor_trimestre),((Datos!L20/Datos!K20)*11)/factor_trimestre," - ")</f>
        <v>5.037069726390115</v>
      </c>
      <c r="BI20" s="810">
        <f>IF(ISNUMBER(Datos!J20/Datos!I20),Datos!J20/Datos!I20," - ")</f>
        <v>0.63062098501070663</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-0.95306028531983433</v>
      </c>
      <c r="BM20" s="886">
        <f>IF(ISNUMBER((Datos!P20-Datos!Q20+R20)/(Datos!R20-Datos!P20+Datos!Q20-R20)),(Datos!P20-Datos!Q20+R20)/(Datos!R20-Datos!P20+Datos!Q20-R20)," - ")</f>
        <v>-1.3931457230426304E-4</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830.33333333333337</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2.5473297566057065</v>
      </c>
      <c r="F22" s="550">
        <f>IF(ISNUMBER(STDEV(F8:F19)),STDEV(F8:F19),"-")</f>
        <v>938.96150080820667</v>
      </c>
      <c r="G22" s="551">
        <f>IF(ISNUMBER(STDEV(G8:G19)),STDEV(G8:G19),"-")</f>
        <v>959.76031730149521</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845.02228767451265</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248.96069684074345</v>
      </c>
      <c r="BD22" s="550"/>
      <c r="BE22" s="550">
        <f>IF(ISNUMBER(STDEV(BE8:BE19)),STDEV(BE8:BE19),"-")</f>
        <v>0</v>
      </c>
      <c r="BF22" s="555">
        <f>IF(ISNUMBER(STDEV(BF8:BF19)),STDEV(BF8:BF19),"-")</f>
        <v>0</v>
      </c>
      <c r="BG22" s="772">
        <f>IF(ISNUMBER(STDEV(BG8:BG19)),STDEV(BG8:BG19),"-")</f>
        <v>0.1542605218389734</v>
      </c>
      <c r="BH22" s="773">
        <f>IF(ISNUMBER(STDEV(BH8:BH19)),STDEV(BH8:BH19),"-")</f>
        <v>8.868433275320184</v>
      </c>
      <c r="BI22" s="248">
        <f>IF(ISNUMBER(STDEV(BI8:BI19)),STDEV(BI8:BI19),"-")</f>
        <v>0.14045727495506097</v>
      </c>
      <c r="BJ22" s="1415" t="str">
        <f>IF(ISNUMBER(BL22/BM22),BL22/BM22," - ")</f>
        <v xml:space="preserve"> - </v>
      </c>
      <c r="BK22" s="574"/>
      <c r="BL22" s="558">
        <f>IF(ISNUMBER(STDEV(BL8:BL19)),STDEV(BL8:BL19),"-")</f>
        <v>0.5963775655666721</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abvqm5TP7738gYS0hEn/bzfn0rPl7OiQKbVYeLq7oaTcSFziNrSbZml9KwwX3nUxlTKiOOjVNQO8z33FKRXzEQ==" saltValue="q3zBOiF5efjc+PM3ohC0U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EXTREMADURA</v>
      </c>
    </row>
    <row r="2" spans="1:146" ht="16.5" customHeight="1">
      <c r="C2" s="487" t="str">
        <f>Criterios!A10 &amp;"  "&amp;Criterios!B10 &amp; "  " &amp; IF(NOT(ISBLANK(Criterios!A11)),Criterios!A11 &amp;"  "&amp;Criterios!B11,"")</f>
        <v>Provincias  CACERES  Resumenes por Partidos Judiciales  CACERES</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0.37123540258143822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0.2625030705818529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pMem6nc7lWdiBk/+rsWDeswKDb+O74+99K1ryxRCvPdNBFddQPzLm2nbp8mFjun200X7jVYIeGzJGXqTIZbogA==" saltValue="UOpMZGkDcnWvB3GF0Vqj3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EXTREMADURA</v>
      </c>
      <c r="B4" s="1461" t="str">
        <f>IF(Criterios!B10=0,"",Criterios!B10)</f>
        <v>CACERES</v>
      </c>
      <c r="C4" s="1461" t="str">
        <f>IF(Criterios!B11=0,"",Criterios!B11)</f>
        <v>CACERES</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k8o7QxRJg6nmF1aAakCRnSXsDsd0lr1cfi74EjRlSmpHjiXHyk2SZpD2rNcNU5wBTdif6nqZ7hErMtmAp/PUzg==" saltValue="SLnH2WXXB49Hr1BkrGjk7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EXTREMADURA</v>
      </c>
      <c r="C2" s="374"/>
      <c r="E2" s="374"/>
      <c r="F2" s="374"/>
      <c r="G2" s="374"/>
      <c r="H2" s="374"/>
    </row>
    <row r="3" spans="1:16" ht="39">
      <c r="A3" s="414" t="s">
        <v>219</v>
      </c>
      <c r="B3" s="390" t="str">
        <f>Criterios!A10 &amp;"  "&amp;Criterios!B10</f>
        <v>Provincias  CACERES</v>
      </c>
      <c r="C3" s="414"/>
      <c r="F3" s="374"/>
      <c r="G3" s="374"/>
      <c r="H3" s="374"/>
    </row>
    <row r="4" spans="1:16" ht="13.5" thickBot="1">
      <c r="A4" s="374"/>
      <c r="B4" s="390" t="str">
        <f>Criterios!A11 &amp;"  "&amp;Criterios!B11</f>
        <v>Resumenes por Partidos Judiciales  CACERES</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2</v>
      </c>
      <c r="D10" s="402">
        <f>Datos!BK10</f>
        <v>0</v>
      </c>
      <c r="E10" s="402">
        <f>Datos!AQ10</f>
        <v>2</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2</v>
      </c>
      <c r="D18" s="402">
        <f>Datos!BK18</f>
        <v>0</v>
      </c>
      <c r="E18" s="402">
        <f>Datos!AQ18</f>
        <v>2</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o0X2oc0FtcCrin0duWCvZSxZjhe5IZ4VJHOn/OgCcH2mXEc7+NZ3y7qDVhI6CqKNwQ9pCRsUb+1umnitJqn4HQ==" saltValue="lMgfyTjgQzh02vXbzGo4n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CACERES</v>
      </c>
      <c r="C3" s="390"/>
      <c r="D3" s="424"/>
      <c r="BZ3" s="470"/>
    </row>
    <row r="4" spans="1:78" ht="13.5" thickBot="1">
      <c r="B4" s="390" t="str">
        <f>Criterios!A11 &amp;"  "&amp;Criterios!B11</f>
        <v>Resumenes por Partidos Judiciales  CACERES</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5</v>
      </c>
      <c r="C9" s="409">
        <f>Datos!AQ9</f>
        <v>5</v>
      </c>
      <c r="D9" s="402">
        <f>IF(ISNUMBER(Datos!M9),Datos!M9," - ")</f>
        <v>575</v>
      </c>
      <c r="E9" s="403">
        <f t="shared" ref="E9:E13" si="0">IF(ISNUMBER(D9/B9),D9/B9," - ")</f>
        <v>115</v>
      </c>
      <c r="F9" s="402">
        <f>IF(ISNUMBER(Datos!N9),Datos!N9," - ")</f>
        <v>518</v>
      </c>
      <c r="G9" s="403">
        <f t="shared" ref="G9:G13" si="1">IF(ISNUMBER(F9/B9),F9/B9," - ")</f>
        <v>103.6</v>
      </c>
      <c r="H9" s="402">
        <f>IF(ISNUMBER(Datos!O9),Datos!O9," - ")</f>
        <v>703</v>
      </c>
      <c r="I9" s="403">
        <f>IF(ISNUMBER(H9/B9),H9/B9," - ")</f>
        <v>140.6</v>
      </c>
      <c r="BZ9" s="1181">
        <f>Datos!EZ9</f>
        <v>0</v>
      </c>
    </row>
    <row r="10" spans="1:78">
      <c r="A10" s="401" t="str">
        <f>Datos!A10</f>
        <v>Sección De Violencia sobre la Mujer del TI</v>
      </c>
      <c r="B10" s="426">
        <f>Datos!AO10</f>
        <v>3</v>
      </c>
      <c r="C10" s="409">
        <f>Datos!AQ10</f>
        <v>2</v>
      </c>
      <c r="D10" s="402">
        <f>IF(ISNUMBER(Datos!M10),Datos!M10," - ")</f>
        <v>27</v>
      </c>
      <c r="E10" s="403">
        <f>IF(ISNUMBER(D10/B10),D10/B10," - ")</f>
        <v>9</v>
      </c>
      <c r="F10" s="402">
        <f>IF(ISNUMBER(Datos!N10),Datos!N10," - ")</f>
        <v>22</v>
      </c>
      <c r="G10" s="403">
        <f>IF(ISNUMBER(F10/B10),F10/B10," - ")</f>
        <v>7.333333333333333</v>
      </c>
      <c r="H10" s="402">
        <f>IF(ISNUMBER(Datos!O10),Datos!O10," - ")</f>
        <v>8</v>
      </c>
      <c r="I10" s="403">
        <f t="shared" ref="I10:I12" si="2">IF(ISNUMBER(H10/B10),H10/B10," - ")</f>
        <v>2.6666666666666665</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0</v>
      </c>
      <c r="C12" s="409">
        <f>Datos!AQ12</f>
        <v>0</v>
      </c>
      <c r="D12" s="402">
        <f>IF(ISNUMBER(Datos!M12),Datos!M12," - ")</f>
        <v>2</v>
      </c>
      <c r="E12" s="403" t="str">
        <f t="shared" si="0"/>
        <v xml:space="preserve"> - </v>
      </c>
      <c r="F12" s="402">
        <f>IF(ISNUMBER(Datos!N12),Datos!N12," - ")</f>
        <v>6</v>
      </c>
      <c r="G12" s="403" t="str">
        <f t="shared" si="1"/>
        <v xml:space="preserve"> - </v>
      </c>
      <c r="H12" s="402">
        <f>IF(ISNUMBER(Datos!O12),Datos!O12," - ")</f>
        <v>20</v>
      </c>
      <c r="I12" s="403" t="str">
        <f t="shared" si="2"/>
        <v xml:space="preserve"> - </v>
      </c>
      <c r="BZ12" s="1181">
        <f>Datos!EZ12</f>
        <v>0</v>
      </c>
    </row>
    <row r="13" spans="1:78" ht="14.25" thickTop="1" thickBot="1">
      <c r="A13" s="845" t="str">
        <f>Datos!A13</f>
        <v>TOTAL</v>
      </c>
      <c r="B13" s="846">
        <f>Datos!AP13</f>
        <v>7</v>
      </c>
      <c r="C13" s="848">
        <f>Datos!AR13</f>
        <v>7</v>
      </c>
      <c r="D13" s="846">
        <f>SUBTOTAL(9,D9:D12)</f>
        <v>604</v>
      </c>
      <c r="E13" s="847">
        <f t="shared" si="0"/>
        <v>86.285714285714292</v>
      </c>
      <c r="F13" s="846">
        <f>SUBTOTAL(9,F9:F12)</f>
        <v>546</v>
      </c>
      <c r="G13" s="847">
        <f t="shared" si="1"/>
        <v>78</v>
      </c>
      <c r="H13" s="846">
        <f>SUBTOTAL(9,H9:H12)</f>
        <v>731</v>
      </c>
      <c r="I13" s="847">
        <f>IF(ISNUMBER(H13/B13),H13/B13," - ")</f>
        <v>104.42857142857143</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3</v>
      </c>
      <c r="C15" s="427">
        <f>Datos!AQ15</f>
        <v>3</v>
      </c>
      <c r="D15" s="402">
        <f>IF(ISNUMBER(Datos!M15),Datos!M15," - ")</f>
        <v>168</v>
      </c>
      <c r="E15" s="403">
        <f t="shared" ref="E15:E19" si="3">IF(ISNUMBER(D15/B15),D15/B15," - ")</f>
        <v>56</v>
      </c>
      <c r="F15" s="402">
        <f>IF(ISNUMBER(Datos!N15),Datos!N15," - ")</f>
        <v>798</v>
      </c>
      <c r="G15" s="403">
        <f t="shared" ref="G15:G19" si="4">IF(ISNUMBER(F15/B15),F15/B15," - ")</f>
        <v>266</v>
      </c>
      <c r="H15" s="402">
        <f>IF(ISNUMBER(Datos!O15),Datos!O15," - ")</f>
        <v>41</v>
      </c>
      <c r="I15" s="403">
        <f t="shared" ref="I15:I18" si="5">IF(ISNUMBER(H15/B15),H15/B15," - ")</f>
        <v>13.666666666666666</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f>IF(ISNUMBER(Datos!M17),Datos!M17," - ")</f>
        <v>0</v>
      </c>
      <c r="E17" s="403" t="str">
        <f t="shared" si="3"/>
        <v xml:space="preserve"> - </v>
      </c>
      <c r="F17" s="402">
        <f>IF(ISNUMBER(Datos!N17),Datos!N17," - ")</f>
        <v>1</v>
      </c>
      <c r="G17" s="403" t="str">
        <f t="shared" si="4"/>
        <v xml:space="preserve"> - </v>
      </c>
      <c r="H17" s="402">
        <f>IF(ISNUMBER(Datos!O17),Datos!O17," - ")</f>
        <v>0</v>
      </c>
      <c r="I17" s="403" t="str">
        <f t="shared" si="5"/>
        <v xml:space="preserve"> - </v>
      </c>
      <c r="BZ17" s="1181">
        <f>Datos!EZ17</f>
        <v>0</v>
      </c>
    </row>
    <row r="18" spans="1:78" ht="13.5" thickBot="1">
      <c r="A18" s="401" t="str">
        <f>Datos!A18</f>
        <v>Sección De Violencia sobre la Mujer del TI</v>
      </c>
      <c r="B18" s="426">
        <f>Datos!AO18</f>
        <v>3</v>
      </c>
      <c r="C18" s="427">
        <f>Datos!AQ18</f>
        <v>2</v>
      </c>
      <c r="D18" s="402">
        <f>IF(ISNUMBER(Datos!M18),Datos!M18," - ")</f>
        <v>60</v>
      </c>
      <c r="E18" s="403">
        <f>IF(ISNUMBER(D18/B18),D18/B18," - ")</f>
        <v>20</v>
      </c>
      <c r="F18" s="402">
        <f>IF(ISNUMBER(Datos!N18),Datos!N18," - ")</f>
        <v>250</v>
      </c>
      <c r="G18" s="403">
        <f>IF(ISNUMBER(F18/B18),F18/B18," - ")</f>
        <v>83.333333333333329</v>
      </c>
      <c r="H18" s="402">
        <f>IF(ISNUMBER(Datos!O18),Datos!O18," - ")</f>
        <v>0</v>
      </c>
      <c r="I18" s="403">
        <f t="shared" si="5"/>
        <v>0</v>
      </c>
      <c r="BZ18" s="1181">
        <f>Datos!EZ18</f>
        <v>0</v>
      </c>
    </row>
    <row r="19" spans="1:78" ht="14.25" thickTop="1" thickBot="1">
      <c r="A19" s="845" t="str">
        <f>Datos!A19</f>
        <v>TOTAL</v>
      </c>
      <c r="B19" s="846">
        <f>Datos!AP19</f>
        <v>5</v>
      </c>
      <c r="C19" s="848">
        <f>Datos!AR19</f>
        <v>5</v>
      </c>
      <c r="D19" s="846">
        <f>SUBTOTAL(9,D15:D18)</f>
        <v>228</v>
      </c>
      <c r="E19" s="847">
        <f t="shared" si="3"/>
        <v>45.6</v>
      </c>
      <c r="F19" s="846">
        <f>SUBTOTAL(9,F15:F18)</f>
        <v>1049</v>
      </c>
      <c r="G19" s="847">
        <f t="shared" si="4"/>
        <v>209.8</v>
      </c>
      <c r="H19" s="846">
        <f>SUBTOTAL(9,H15:H18)</f>
        <v>41</v>
      </c>
      <c r="I19" s="847">
        <f>IF(ISNUMBER(H19/B19),H19/B19," - ")</f>
        <v>8.1999999999999993</v>
      </c>
      <c r="BZ19" s="1181"/>
    </row>
    <row r="20" spans="1:78" ht="14.25" thickTop="1" thickBot="1">
      <c r="A20" s="790" t="str">
        <f>Datos!A20</f>
        <v>TOTAL JURISDICCIONES</v>
      </c>
      <c r="B20" s="791">
        <f>Datos!AP20</f>
        <v>10</v>
      </c>
      <c r="C20" s="791">
        <f>Datos!AR20</f>
        <v>10</v>
      </c>
      <c r="D20" s="791">
        <f>SUBTOTAL(9,D8:D19)</f>
        <v>832</v>
      </c>
      <c r="E20" s="792">
        <f>IF(ISNUMBER(D20/B20),D20/B20," - ")</f>
        <v>83.2</v>
      </c>
      <c r="F20" s="791">
        <f>SUBTOTAL(9,F8:F19)</f>
        <v>1595</v>
      </c>
      <c r="G20" s="792">
        <f>IF(ISNUMBER(F20/B20),F20/B20," - ")</f>
        <v>159.5</v>
      </c>
      <c r="H20" s="791">
        <f>SUBTOTAL(9,H8:H19)</f>
        <v>772</v>
      </c>
      <c r="I20" s="792">
        <f>IF(ISNUMBER(H20/B20),H20/B20," - ")</f>
        <v>77.2</v>
      </c>
    </row>
    <row r="23" spans="1:78">
      <c r="A23" s="390" t="str">
        <f>Criterios!A4</f>
        <v>Fecha Informe: 18 jun. 2026</v>
      </c>
    </row>
    <row r="28" spans="1:78">
      <c r="A28" s="413"/>
    </row>
  </sheetData>
  <sheetProtection algorithmName="SHA-512" hashValue="gpQY0ChsqofUFYDr8aw/qccxyGdWk/sRu8FGp7E8oV4+Suh68knuMk2ZCBtH+ZcysGyPXSLB8uMsiL58n1KwCg==" saltValue="tiWgOblttWaGM6pXrixp5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CACERES</v>
      </c>
    </row>
    <row r="4" spans="1:4" ht="13.5" thickBot="1">
      <c r="B4" s="390" t="str">
        <f>Criterios!A11 &amp;"  "&amp;Criterios!B11</f>
        <v>Resumenes por Partidos Judiciales  CACERES</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606</v>
      </c>
      <c r="C9" s="433">
        <f>IF(ISNUMBER(Datos!Q9),Datos!Q9," - ")</f>
        <v>544</v>
      </c>
      <c r="D9" s="407">
        <f>IF(ISNUMBER(Datos!R9),Datos!R9," - ")</f>
        <v>5006</v>
      </c>
    </row>
    <row r="10" spans="1:4">
      <c r="A10" s="401" t="str">
        <f>Datos!A10</f>
        <v>Sección De Violencia sobre la Mujer del TI</v>
      </c>
      <c r="B10" s="432">
        <f>IF(ISNUMBER(Datos!P10),Datos!P10," - ")</f>
        <v>4</v>
      </c>
      <c r="C10" s="433">
        <f>IF(ISNUMBER(Datos!Q10),Datos!Q10," - ")</f>
        <v>4</v>
      </c>
      <c r="D10" s="407">
        <f>IF(ISNUMBER(Datos!R10),Datos!R10," - ")</f>
        <v>23</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v>
      </c>
      <c r="C12" s="433">
        <f>IF(ISNUMBER(Datos!Q12),Datos!Q12," - ")</f>
        <v>51</v>
      </c>
      <c r="D12" s="407">
        <f>IF(ISNUMBER(Datos!R12),Datos!R12," - ")</f>
        <v>1728</v>
      </c>
    </row>
    <row r="13" spans="1:4" ht="14.25" thickTop="1" thickBot="1">
      <c r="A13" s="845" t="str">
        <f>Datos!A13</f>
        <v>TOTAL</v>
      </c>
      <c r="B13" s="846">
        <f>SUBTOTAL(9,B9:B12)</f>
        <v>611</v>
      </c>
      <c r="C13" s="850">
        <f>SUBTOTAL(9,C9:C12)</f>
        <v>599</v>
      </c>
      <c r="D13" s="848">
        <f>SUBTOTAL(9,D9:D12)</f>
        <v>6757</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64</v>
      </c>
      <c r="C15" s="433">
        <f>IF(ISNUMBER(Datos!Q15),Datos!Q15," - ")</f>
        <v>83</v>
      </c>
      <c r="D15" s="407">
        <f>IF(ISNUMBER(Datos!R15),Datos!R15," - ")</f>
        <v>373</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0</v>
      </c>
      <c r="C17" s="433">
        <f>IF(ISNUMBER(Datos!Q17),Datos!Q17," - ")</f>
        <v>0</v>
      </c>
      <c r="D17" s="407">
        <f>IF(ISNUMBER(Datos!R17),Datos!R17," - ")</f>
        <v>23</v>
      </c>
    </row>
    <row r="18" spans="1:4" ht="13.5" thickBot="1">
      <c r="A18" s="401" t="str">
        <f>Datos!A18</f>
        <v>Sección De Violencia sobre la Mujer del TI</v>
      </c>
      <c r="B18" s="432">
        <f>IF(ISNUMBER(Datos!P18),Datos!P18," - ")</f>
        <v>6</v>
      </c>
      <c r="C18" s="433">
        <f>IF(ISNUMBER(Datos!Q18),Datos!Q18," - ")</f>
        <v>0</v>
      </c>
      <c r="D18" s="407">
        <f>IF(ISNUMBER(Datos!R18),Datos!R18," - ")</f>
        <v>24</v>
      </c>
    </row>
    <row r="19" spans="1:4" ht="14.25" thickTop="1" thickBot="1">
      <c r="A19" s="845" t="str">
        <f>Datos!A19</f>
        <v>TOTAL</v>
      </c>
      <c r="B19" s="846">
        <f>SUBTOTAL(9,B15:B18)</f>
        <v>70</v>
      </c>
      <c r="C19" s="850">
        <f>SUBTOTAL(9,C15:C18)</f>
        <v>83</v>
      </c>
      <c r="D19" s="848">
        <f>SUBTOTAL(9,D15:D18)</f>
        <v>420</v>
      </c>
    </row>
    <row r="20" spans="1:4" ht="16.5" customHeight="1" thickTop="1" thickBot="1">
      <c r="A20" s="790" t="str">
        <f>Datos!A20</f>
        <v>TOTAL JURISDICCIONES</v>
      </c>
      <c r="B20" s="795">
        <f>SUBTOTAL(9,B8:B19)</f>
        <v>681</v>
      </c>
      <c r="C20" s="796">
        <f>SUBTOTAL(9,C8:C19)</f>
        <v>682</v>
      </c>
      <c r="D20" s="797">
        <f>SUBTOTAL(9,D8:D19)</f>
        <v>7177</v>
      </c>
    </row>
    <row r="21" spans="1:4" ht="7.5" customHeight="1"/>
    <row r="22" spans="1:4" ht="6" customHeight="1"/>
    <row r="23" spans="1:4">
      <c r="A23" s="390" t="str">
        <f>Criterios!A4</f>
        <v>Fecha Informe: 18 jun. 2026</v>
      </c>
    </row>
    <row r="28" spans="1:4">
      <c r="A28" s="413"/>
    </row>
  </sheetData>
  <sheetProtection algorithmName="SHA-512" hashValue="wP9jK8E5FzUkg9yv1C9/3SDCIpU/IDY1ObQ4FGlbGhnC/tOOR5EsO5d9BHMGRRCj3axesA96fFcrg2dOQzMMXQ==" saltValue="V019GdZV/hl8SSNtMaepp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CACERES</v>
      </c>
    </row>
    <row r="4" spans="1:11" ht="10.5" customHeight="1" thickBot="1">
      <c r="B4" s="390" t="str">
        <f>Criterios!A11 &amp;"  "&amp;Criterios!B11</f>
        <v>Resumenes por Partidos Judiciales  CACERES</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-3.6154708520179372E-2</v>
      </c>
      <c r="C9" s="455">
        <f>IF(ISNUMBER(
   IF(J_V="SI",(Datos!J9-Datos!T9)/Datos!T9,(Datos!J9+Datos!Z9-(Datos!T9+Datos!AH9))/(Datos!T9+Datos!AH9))
     ),IF(J_V="SI",(Datos!J9-Datos!T9)/Datos!T9,(Datos!J9+Datos!Z9-(Datos!T9+Datos!AH9))/(Datos!T9+Datos!AH9))," - ")</f>
        <v>-0.29336734693877553</v>
      </c>
      <c r="D9" s="455">
        <f>IF(ISNUMBER(
   IF(J_V="SI",(Datos!K9-Datos!U9)/Datos!U9,(Datos!K9+Datos!AA9-(Datos!U9+Datos!AI9))/(Datos!U9+Datos!AI9))
     ),IF(J_V="SI",(Datos!K9-Datos!U9)/Datos!U9,(Datos!K9+Datos!AA9-(Datos!U9+Datos!AI9))/(Datos!U9+Datos!AI9))," - ")</f>
        <v>-0.26847521047708139</v>
      </c>
      <c r="E9" s="455">
        <f>IF(ISNUMBER(
   IF(J_V="SI",(Datos!L9-Datos!V9)/Datos!V9,(Datos!L9+Datos!AB9-(Datos!V9+Datos!AJ9))/(Datos!V9+Datos!AJ9))
     ),IF(J_V="SI",(Datos!L9-Datos!V9)/Datos!V9,(Datos!L9+Datos!AB9-(Datos!V9+Datos!AJ9))/(Datos!V9+Datos!AJ9))," - ")</f>
        <v>-8.3173076923076919E-2</v>
      </c>
      <c r="F9" s="455">
        <f>IF(ISNUMBER((Datos!M9-Datos!W9)/Datos!W9),(Datos!M9-Datos!W9)/Datos!W9," - ")</f>
        <v>-0.28125</v>
      </c>
      <c r="G9" s="456">
        <f>IF(ISNUMBER((Datos!N9-Datos!X9)/Datos!X9),(Datos!N9-Datos!X9)/Datos!X9," - ")</f>
        <v>0.12854030501089325</v>
      </c>
      <c r="H9" s="454">
        <f>IF(ISNUMBER(((NºAsuntos!G9/NºAsuntos!E9)-Datos!BD9)/Datos!BD9),((NºAsuntos!G9/NºAsuntos!E9)-Datos!BD9)/Datos!BD9," - ")</f>
        <v>3.5226416942180892E-2</v>
      </c>
      <c r="I9" s="455">
        <f>IF(ISNUMBER(((NºAsuntos!I9/NºAsuntos!G9)-Datos!BE9)/Datos!BE9),((NºAsuntos!I9/NºAsuntos!G9)-Datos!BE9)/Datos!BE9," - ")</f>
        <v>0.25330943832382441</v>
      </c>
      <c r="J9" s="460">
        <f>IF(ISNUMBER((('Resol  Asuntos'!D9/NºAsuntos!G9)-Datos!BF9)/Datos!BF9),(('Resol  Asuntos'!D9/NºAsuntos!G9)-Datos!BF9)/Datos!BF9," - ")</f>
        <v>0.71248237857234409</v>
      </c>
      <c r="K9" s="461">
        <f>IF(ISNUMBER((((NºAsuntos!C9+NºAsuntos!E9)/NºAsuntos!G9)-Datos!BG9)/Datos!BG9),(((NºAsuntos!C9+NºAsuntos!E9)/NºAsuntos!G9)-Datos!BG9)/Datos!BG9," - ")</f>
        <v>0.16472865390163327</v>
      </c>
    </row>
    <row r="10" spans="1:11" ht="21">
      <c r="A10" s="401" t="str">
        <f>Datos!A10</f>
        <v>Sección De Violencia sobre la Mujer del TI</v>
      </c>
      <c r="B10" s="454">
        <f>IF(ISNUMBER((Datos!I10-Datos!S10)/Datos!S10),(Datos!I10-Datos!S10)/Datos!S10," - ")</f>
        <v>0.21658986175115208</v>
      </c>
      <c r="C10" s="455">
        <f>IF(ISNUMBER((Datos!J10-Datos!T10)/Datos!T10),(Datos!J10-Datos!T10)/Datos!T10," - ")</f>
        <v>0.11904761904761904</v>
      </c>
      <c r="D10" s="455">
        <f>IF(ISNUMBER((Datos!K10-Datos!U10)/Datos!U10),(Datos!K10-Datos!U10)/Datos!U10," - ")</f>
        <v>1</v>
      </c>
      <c r="E10" s="455">
        <f>IF(ISNUMBER((Datos!L10-Datos!V10)/Datos!V10),(Datos!L10-Datos!V10)/Datos!V10," - ")</f>
        <v>0.1038961038961039</v>
      </c>
      <c r="F10" s="455">
        <f>IF(ISNUMBER((Datos!M10-Datos!W10)/Datos!W10),(Datos!M10-Datos!W10)/Datos!W10," - ")</f>
        <v>0.2857142857142857</v>
      </c>
      <c r="G10" s="456">
        <f>IF(ISNUMBER((Datos!N10-Datos!X10)/Datos!X10),(Datos!N10-Datos!X10)/Datos!X10," - ")</f>
        <v>2.1428571428571428</v>
      </c>
      <c r="H10" s="454">
        <f>IF(ISNUMBER(((NºAsuntos!G10/NºAsuntos!E10)-Datos!BD10)/Datos!BD10),((NºAsuntos!G10/NºAsuntos!E10)-Datos!BD10)/Datos!BD10," - ")</f>
        <v>0.78723404255319152</v>
      </c>
      <c r="I10" s="455">
        <f>IF(ISNUMBER(((NºAsuntos!I10/NºAsuntos!G10)-Datos!BE10)/Datos!BE10),((NºAsuntos!I10/NºAsuntos!G10)-Datos!BE10)/Datos!BE10," - ")</f>
        <v>-0.44805194805194803</v>
      </c>
      <c r="J10" s="460">
        <f>IF(ISNUMBER((('Resol  Asuntos'!D10/NºAsuntos!G10)-Datos!BF10)/Datos!BF10),(('Resol  Asuntos'!D10/NºAsuntos!G10)-Datos!BF10)/Datos!BF10," - ")</f>
        <v>-0.35714285714285715</v>
      </c>
      <c r="K10" s="461">
        <f>IF(ISNUMBER((((NºAsuntos!C10+NºAsuntos!E10)/NºAsuntos!G10)-Datos!BG10)/Datos!BG10),(((NºAsuntos!C10+NºAsuntos!E10)/NºAsuntos!G10)-Datos!BG10)/Datos!BG10," - ")</f>
        <v>-0.39961389961389959</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-0.39449541284403672</v>
      </c>
      <c r="C12" s="455">
        <f>IF(ISNUMBER(
   IF(J_V="SI",(Datos!J12-Datos!T12)/Datos!T12,(Datos!J12+Datos!Z12-(Datos!T12+Datos!AH12))/(Datos!T12+Datos!AH12))
     ),IF(J_V="SI",(Datos!J12-Datos!T12)/Datos!T12,(Datos!J12+Datos!Z12-(Datos!T12+Datos!AH12))/(Datos!T12+Datos!AH12))," - ")</f>
        <v>-0.125</v>
      </c>
      <c r="D12" s="455">
        <f>IF(ISNUMBER(
   IF(J_V="SI",(Datos!K12-Datos!U12)/Datos!U12,(Datos!K12+Datos!AA12-(Datos!U12+Datos!AI12))/(Datos!U12+Datos!AI12))
     ),IF(J_V="SI",(Datos!K12-Datos!U12)/Datos!U12,(Datos!K12+Datos!AA12-(Datos!U12+Datos!AI12))/(Datos!U12+Datos!AI12))," - ")</f>
        <v>-0.61111111111111116</v>
      </c>
      <c r="E12" s="455">
        <f>IF(ISNUMBER(
   IF(J_V="SI",(Datos!L12-Datos!V12)/Datos!V12,(Datos!L12+Datos!AB12-(Datos!V12+Datos!AJ12))/(Datos!V12+Datos!AJ12))
     ),IF(J_V="SI",(Datos!L12-Datos!V12)/Datos!V12,(Datos!L12+Datos!AB12-(Datos!V12+Datos!AJ12))/(Datos!V12+Datos!AJ12))," - ")</f>
        <v>-0.33333333333333331</v>
      </c>
      <c r="F12" s="455">
        <f>IF(ISNUMBER((Datos!M12-Datos!W12)/Datos!W12),(Datos!M12-Datos!W12)/Datos!W12," - ")</f>
        <v>0</v>
      </c>
      <c r="G12" s="456">
        <f>IF(ISNUMBER((Datos!N12-Datos!X12)/Datos!X12),(Datos!N12-Datos!X12)/Datos!X12," - ")</f>
        <v>-0.25</v>
      </c>
      <c r="H12" s="454">
        <f>IF(ISNUMBER(((NºAsuntos!G12/NºAsuntos!E12)-Datos!BD12)/Datos!BD12),((NºAsuntos!G12/NºAsuntos!E12)-Datos!BD12)/Datos!BD12," - ")</f>
        <v>-0.55555555555555558</v>
      </c>
      <c r="I12" s="455">
        <f>IF(ISNUMBER(((NºAsuntos!I12/NºAsuntos!G12)-Datos!BE12)/Datos!BE12),((NºAsuntos!I12/NºAsuntos!G12)-Datos!BE12)/Datos!BE12," - ")</f>
        <v>0.7142857142857143</v>
      </c>
      <c r="J12" s="460">
        <f>IF(ISNUMBER((('Resol  Asuntos'!D12/NºAsuntos!G12)-Datos!BF12)/Datos!BF12),(('Resol  Asuntos'!D12/NºAsuntos!G12)-Datos!BF12)/Datos!BF12," - ")</f>
        <v>-0.35714285714285715</v>
      </c>
      <c r="K12" s="461">
        <f>IF(ISNUMBER((((NºAsuntos!C12+NºAsuntos!E12)/NºAsuntos!G12)-Datos!BG12)/Datos!BG12),(((NºAsuntos!C12+NºAsuntos!E12)/NºAsuntos!G12)-Datos!BG12)/Datos!BG12," - ")</f>
        <v>0.60439560439560447</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-3.210066769388803E-2</v>
      </c>
      <c r="C13" s="852">
        <f>IF(ISNUMBER(
   IF(J_V="SI",(Datos!J13-Datos!T13)/Datos!T13,(Datos!J13+Datos!Z13-(Datos!T13+Datos!AH13))/(Datos!T13+Datos!AH13))
     ),IF(J_V="SI",(Datos!J13-Datos!T13)/Datos!T13,(Datos!J13+Datos!Z13-(Datos!T13+Datos!AH13))/(Datos!T13+Datos!AH13))," - ")</f>
        <v>-0.28668575518969219</v>
      </c>
      <c r="D13" s="852">
        <f>IF(ISNUMBER(
   IF(J_V="SI",(Datos!K13-Datos!U13)/Datos!U13,(Datos!K13+Datos!AA13-(Datos!U13+Datos!AI13))/(Datos!U13+Datos!AI13))
     ),IF(J_V="SI",(Datos!K13-Datos!U13)/Datos!U13,(Datos!K13+Datos!AA13-(Datos!U13+Datos!AI13))/(Datos!U13+Datos!AI13))," - ")</f>
        <v>-0.25503663003663002</v>
      </c>
      <c r="E13" s="852">
        <f>IF(ISNUMBER(
   IF(J_V="SI",(Datos!L13-Datos!V13)/Datos!V13,(Datos!L13+Datos!AB13-(Datos!V13+Datos!AJ13))/(Datos!V13+Datos!AJ13))
     ),IF(J_V="SI",(Datos!L13-Datos!V13)/Datos!V13,(Datos!L13+Datos!AB13-(Datos!V13+Datos!AJ13))/(Datos!V13+Datos!AJ13))," - ")</f>
        <v>-7.9064587973273939E-2</v>
      </c>
      <c r="F13" s="853">
        <f>IF(ISNUMBER((Datos!M13-Datos!W13)/Datos!W13),(Datos!M13-Datos!W13)/Datos!W13," - ")</f>
        <v>-0.26609963547995141</v>
      </c>
      <c r="G13" s="854">
        <f>IF(ISNUMBER((Datos!N13-Datos!X13)/Datos!X13),(Datos!N13-Datos!X13)/Datos!X13," - ")</f>
        <v>0.15189873417721519</v>
      </c>
      <c r="H13" s="854">
        <f>IF(ISNUMBER(((NºAsuntos!G13/NºAsuntos!E13)-Datos!BD13)/Datos!BD13),((NºAsuntos!G13/NºAsuntos!E13)-Datos!BD13)/Datos!BD13," - ")</f>
        <v>4.4369119757980809E-2</v>
      </c>
      <c r="I13" s="854">
        <f>IF(ISNUMBER(((NºAsuntos!I13/NºAsuntos!G13)-Datos!BE13)/Datos!BE13),((NºAsuntos!I13/NºAsuntos!G13)-Datos!BE13)/Datos!BE13," - ")</f>
        <v>0.23621569752081734</v>
      </c>
      <c r="J13" s="854">
        <f>IF(ISNUMBER((('Resol  Asuntos'!D13/NºAsuntos!G13)-Datos!BF13)/Datos!BF13),(('Resol  Asuntos'!D13/NºAsuntos!G13)-Datos!BF13)/Datos!BF13," - ")</f>
        <v>0.66143057220873158</v>
      </c>
      <c r="K13" s="854">
        <f>IF(ISNUMBER((((NºAsuntos!C13+NºAsuntos!E13)/NºAsuntos!G13)-Datos!BG13)/Datos!BG13),(((NºAsuntos!C13+NºAsuntos!E13)/NºAsuntos!G13)-Datos!BG13)/Datos!BG13," - ")</f>
        <v>0.15649050267172096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6.6251415628539076E-2</v>
      </c>
      <c r="C15" s="455">
        <f>IF(ISNUMBER(
   IF(D_I="SI",(Datos!J15-Datos!T15)/Datos!T15,(Datos!J15+Datos!AD15-(Datos!T15+Datos!AL15))/(Datos!T15+Datos!AL15))
     ),IF(D_I="SI",(Datos!J15-Datos!T15)/Datos!T15,(Datos!J15+Datos!AD15-(Datos!T15+Datos!AL15))/(Datos!T15+Datos!AL15))," - ")</f>
        <v>2.3255813953488372E-3</v>
      </c>
      <c r="D15" s="455">
        <f>IF(ISNUMBER(
   IF(D_I="SI",(Datos!K15-Datos!U15)/Datos!U15,(Datos!K15+Datos!AE15-(Datos!U15+Datos!AM15))/(Datos!U15+Datos!AM15))
     ),IF(D_I="SI",(Datos!K15-Datos!U15)/Datos!U15,(Datos!K15+Datos!AE15-(Datos!U15+Datos!AM15))/(Datos!U15+Datos!AM15))," - ")</f>
        <v>0.17269736842105263</v>
      </c>
      <c r="E15" s="455">
        <f>IF(ISNUMBER(
   IF(D_I="SI",(Datos!L15-Datos!V15)/Datos!V15,(Datos!L15+Datos!AF15-(Datos!V15+Datos!AN15))/(Datos!V15+Datos!AN15))
     ),IF(D_I="SI",(Datos!L15-Datos!V15)/Datos!V15,(Datos!L15+Datos!AF15-(Datos!V15+Datos!AN15))/(Datos!V15+Datos!AN15))," - ")</f>
        <v>-6.5415549597855227E-2</v>
      </c>
      <c r="F15" s="455">
        <f>IF(ISNUMBER((Datos!M15-Datos!W15)/Datos!W15),(Datos!M15-Datos!W15)/Datos!W15," - ")</f>
        <v>-0.1111111111111111</v>
      </c>
      <c r="G15" s="456">
        <f>IF(ISNUMBER((Datos!N15-Datos!X15)/Datos!X15),(Datos!N15-Datos!X15)/Datos!X15," - ")</f>
        <v>0.15484804630969609</v>
      </c>
      <c r="H15" s="454">
        <f>IF(ISNUMBER(((NºAsuntos!G15/NºAsuntos!E15)-Datos!BD15)/Datos!BD15),((NºAsuntos!G15/NºAsuntos!E15)-Datos!BD15)/Datos!BD15," - ")</f>
        <v>0.16997649285627062</v>
      </c>
      <c r="I15" s="455">
        <f>IF(ISNUMBER(((NºAsuntos!I15/NºAsuntos!G15)-Datos!BE15)/Datos!BE15),((NºAsuntos!I15/NºAsuntos!G15)-Datos!BE15)/Datos!BE15," - ")</f>
        <v>-0.20304720077909674</v>
      </c>
      <c r="J15" s="460">
        <f>IF(ISNUMBER((('Resol  Asuntos'!D15/NºAsuntos!G15)-Datos!BF15)/Datos!BF15),(('Resol  Asuntos'!D15/NºAsuntos!G15)-Datos!BF15)/Datos!BF15," - ")</f>
        <v>-0.24201340190119999</v>
      </c>
      <c r="K15" s="461">
        <f>IF(ISNUMBER((((NºAsuntos!C15+NºAsuntos!E15)/NºAsuntos!G15)-Datos!BG15)/Datos!BG15),(((NºAsuntos!C15+NºAsuntos!E15)/NºAsuntos!G15)-Datos!BG15)/Datos!BG15," - ")</f>
        <v>-0.11378072152911886</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-0.58227848101265822</v>
      </c>
      <c r="C17" s="455">
        <f>IF(ISNUMBER(
   IF(D_I="SI",(Datos!J17-Datos!T17)/Datos!T17,(Datos!J17+Datos!AD17-(Datos!T17+Datos!AL17))/(Datos!T17+Datos!AL17))
     ),IF(D_I="SI",(Datos!J17-Datos!T17)/Datos!T17,(Datos!J17+Datos!AD17-(Datos!T17+Datos!AL17))/(Datos!T17+Datos!AL17))," - ")</f>
        <v>-1</v>
      </c>
      <c r="D17" s="455">
        <f>IF(ISNUMBER(
   IF(D_I="SI",(Datos!K17-Datos!U17)/Datos!U17,(Datos!K17+Datos!AE17-(Datos!U17+Datos!AM17))/(Datos!U17+Datos!AM17))
     ),IF(D_I="SI",(Datos!K17-Datos!U17)/Datos!U17,(Datos!K17+Datos!AE17-(Datos!U17+Datos!AM17))/(Datos!U17+Datos!AM17))," - ")</f>
        <v>0.5</v>
      </c>
      <c r="E17" s="455">
        <f>IF(ISNUMBER(
   IF(D_I="SI",(Datos!L17-Datos!V17)/Datos!V17,(Datos!L17+Datos!AF17-(Datos!V17+Datos!AN17))/(Datos!V17+Datos!AN17))
     ),IF(D_I="SI",(Datos!L17-Datos!V17)/Datos!V17,(Datos!L17+Datos!AF17-(Datos!V17+Datos!AN17))/(Datos!V17+Datos!AN17))," - ")</f>
        <v>-0.75</v>
      </c>
      <c r="F17" s="455" t="str">
        <f>IF(ISNUMBER((Datos!M17-Datos!W17)/Datos!W17),(Datos!M17-Datos!W17)/Datos!W17," - ")</f>
        <v xml:space="preserve"> - </v>
      </c>
      <c r="G17" s="456">
        <f>IF(ISNUMBER((Datos!N17-Datos!X17)/Datos!X17),(Datos!N17-Datos!X17)/Datos!X17," - ")</f>
        <v>0</v>
      </c>
      <c r="H17" s="454" t="str">
        <f>IF(ISNUMBER(((NºAsuntos!G17/NºAsuntos!E17)-Datos!BD17)/Datos!BD17),((NºAsuntos!G17/NºAsuntos!E17)-Datos!BD17)/Datos!BD17," - ")</f>
        <v xml:space="preserve"> - </v>
      </c>
      <c r="I17" s="455">
        <f>IF(ISNUMBER(((NºAsuntos!I17/NºAsuntos!G17)-Datos!BE17)/Datos!BE17),((NºAsuntos!I17/NºAsuntos!G17)-Datos!BE17)/Datos!BE17," - ")</f>
        <v>-0.83333333333333326</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-0.72839506172839508</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0.78735632183908044</v>
      </c>
      <c r="C18" s="455">
        <f>IF(ISNUMBER(
   IF(D_I="SI",(Datos!J18-Datos!T18)/Datos!T18,(Datos!J18+Datos!AD18-(Datos!T18+Datos!AL18))/(Datos!T18+Datos!AL18))
     ),IF(D_I="SI",(Datos!J18-Datos!T18)/Datos!T18,(Datos!J18+Datos!AD18-(Datos!T18+Datos!AL18))/(Datos!T18+Datos!AL18))," - ")</f>
        <v>9.8947368421052631E-2</v>
      </c>
      <c r="D18" s="455">
        <f>IF(ISNUMBER(
   IF(D_I="SI",(Datos!K18-Datos!U18)/Datos!U18,(Datos!K18+Datos!AE18-(Datos!U18+Datos!AM18))/(Datos!U18+Datos!AM18))
     ),IF(D_I="SI",(Datos!K18-Datos!U18)/Datos!U18,(Datos!K18+Datos!AE18-(Datos!U18+Datos!AM18))/(Datos!U18+Datos!AM18))," - ")</f>
        <v>0.22388059701492538</v>
      </c>
      <c r="E18" s="455">
        <f>IF(ISNUMBER(
   IF(D_I="SI",(Datos!L18-Datos!V18)/Datos!V18,(Datos!L18+Datos!AF18-(Datos!V18+Datos!AN18))/(Datos!V18+Datos!AN18))
     ),IF(D_I="SI",(Datos!L18-Datos!V18)/Datos!V18,(Datos!L18+Datos!AF18-(Datos!V18+Datos!AN18))/(Datos!V18+Datos!AN18))," - ")</f>
        <v>0.29281767955801102</v>
      </c>
      <c r="F18" s="455">
        <f>IF(ISNUMBER((Datos!M18-Datos!W18)/Datos!W18),(Datos!M18-Datos!W18)/Datos!W18," - ")</f>
        <v>-0.14285714285714285</v>
      </c>
      <c r="G18" s="456">
        <f>IF(ISNUMBER((Datos!N18-Datos!X18)/Datos!X18),(Datos!N18-Datos!X18)/Datos!X18," - ")</f>
        <v>0.37362637362637363</v>
      </c>
      <c r="H18" s="454">
        <f>IF(ISNUMBER(((NºAsuntos!G18/NºAsuntos!E18)-Datos!BD18)/Datos!BD18),((NºAsuntos!G18/NºAsuntos!E18)-Datos!BD18)/Datos!BD18," - ")</f>
        <v>0.11368445130668493</v>
      </c>
      <c r="I18" s="455">
        <f>IF(ISNUMBER(((NºAsuntos!I18/NºAsuntos!G18)-Datos!BE18)/Datos!BE18),((NºAsuntos!I18/NºAsuntos!G18)-Datos!BE18)/Datos!BE18," - ")</f>
        <v>5.6326640614472366E-2</v>
      </c>
      <c r="J18" s="460">
        <f>IF(ISNUMBER((('Resol  Asuntos'!D18/NºAsuntos!G18)-Datos!BF18)/Datos!BF18),(('Resol  Asuntos'!D18/NºAsuntos!G18)-Datos!BF18)/Datos!BF18," - ")</f>
        <v>-0.2996515679442508</v>
      </c>
      <c r="K18" s="461">
        <f>IF(ISNUMBER((((NºAsuntos!C18+NºAsuntos!E18)/NºAsuntos!G18)-Datos!BG18)/Datos!BG18),(((NºAsuntos!C18+NºAsuntos!E18)/NºAsuntos!G18)-Datos!BG18)/Datos!BG18," - ")</f>
        <v>4.8724115900635169E-2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0.1030212976721149</v>
      </c>
      <c r="C19" s="852">
        <f>IF(ISNUMBER(
   IF(Criterios!B14="SI",(Datos!J19-Datos!T19)/Datos!T19,(Datos!J19+Datos!AD19-(Datos!T19+Datos!AL19))/(Datos!T19+Datos!AL19))
     ),IF(Criterios!B14="SI",(Datos!J19-Datos!T19)/Datos!T19,(Datos!J19+Datos!AD19-(Datos!T19+Datos!AL19))/(Datos!T19+Datos!AL19))," - ")</f>
        <v>2.7164685908319185E-2</v>
      </c>
      <c r="D19" s="852">
        <f>IF(ISNUMBER(
   IF(Criterios!B14="SI",(Datos!K19-Datos!U19)/Datos!U19,(Datos!K19+Datos!AE19-(Datos!U19+Datos!AM19))/(Datos!U19+Datos!AM19))
     ),IF(Criterios!B14="SI",(Datos!K19-Datos!U19)/Datos!U19,(Datos!K19+Datos!AE19-(Datos!U19+Datos!AM19))/(Datos!U19+Datos!AM19))," - ")</f>
        <v>0.1887905604719764</v>
      </c>
      <c r="E19" s="852">
        <f>IF(ISNUMBER(
   IF(Criterios!B14="SI",(Datos!L19-Datos!V19)/Datos!V19,(Datos!L19+Datos!AF19-(Datos!V19+Datos!AN19))/(Datos!V19+Datos!AN19))
     ),IF(Criterios!B14="SI",(Datos!L19-Datos!V19)/Datos!V19,(Datos!L19+Datos!AF19-(Datos!V19+Datos!AN19))/(Datos!V19+Datos!AN19))," - ")</f>
        <v>-5.8073654390934842E-2</v>
      </c>
      <c r="F19" s="853">
        <f>IF(ISNUMBER((Datos!M19-Datos!W19)/Datos!W19),(Datos!M19-Datos!W19)/Datos!W19," - ")</f>
        <v>-0.11969111969111969</v>
      </c>
      <c r="G19" s="854">
        <f>IF(ISNUMBER((Datos!N19-Datos!X19)/Datos!X19),(Datos!N19-Datos!X19)/Datos!X19," - ")</f>
        <v>0.20022883295194507</v>
      </c>
      <c r="H19" s="854">
        <f>IF(ISNUMBER(((NºAsuntos!G19/NºAsuntos!E19)-Datos!BD19)/Datos!BD19),((NºAsuntos!G19/NºAsuntos!E19)-Datos!BD19)/Datos!BD19," - ")</f>
        <v>0.15735147126941179</v>
      </c>
      <c r="I19" s="854">
        <f>IF(ISNUMBER(((NºAsuntos!I19/NºAsuntos!G19)-Datos!BE19)/Datos!BE19),((NºAsuntos!I19/NºAsuntos!G19)-Datos!BE19)/Datos!BE19," - ")</f>
        <v>-0.20765997230403693</v>
      </c>
      <c r="J19" s="854">
        <f>IF(ISNUMBER((('Resol  Asuntos'!D19/NºAsuntos!G19)-Datos!BF19)/Datos!BF19),(('Resol  Asuntos'!D19/NºAsuntos!G19)-Datos!BF19)/Datos!BF19," - ")</f>
        <v>-0.25949203368558216</v>
      </c>
      <c r="K19" s="854">
        <f>IF(ISNUMBER((((NºAsuntos!C19+NºAsuntos!E19)/NºAsuntos!G19)-Datos!BG19)/Datos!BG19),(((NºAsuntos!C19+NºAsuntos!E19)/NºAsuntos!G19)-Datos!BG19)/Datos!BG19," - ")</f>
        <v>-0.1019296638130031</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1.4036867918146456E-2</v>
      </c>
      <c r="C20" s="799">
        <f>IF(ISNUMBER(
   IF(J_V="SI",(Datos!J20-Datos!T20)/Datos!T20,(Datos!J20+Datos!Z20-(Datos!T20+Datos!AH20))/(Datos!T20+Datos!AH20))
     ),IF(J_V="SI",(Datos!J20-Datos!T20)/Datos!T20,(Datos!J20+Datos!Z20-(Datos!T20+Datos!AH20))/(Datos!T20+Datos!AH20))," - ")</f>
        <v>-0.16509537382153036</v>
      </c>
      <c r="D20" s="799">
        <f>IF(ISNUMBER(
   IF(J_V="SI",(Datos!K20-Datos!U20)/Datos!U20,(Datos!K20+Datos!AA20-(Datos!U20+Datos!AI20))/(Datos!U20+Datos!AI20))
     ),IF(J_V="SI",(Datos!K20-Datos!U20)/Datos!U20,(Datos!K20+Datos!AA20-(Datos!U20+Datos!AI20))/(Datos!U20+Datos!AI20))," - ")</f>
        <v>-6.1098221191028618E-2</v>
      </c>
      <c r="E20" s="799">
        <f>IF(ISNUMBER(
   IF(J_V="SI",(Datos!L20-Datos!V20)/Datos!V20,(Datos!L20+Datos!AB20-(Datos!V20+Datos!AJ20))/(Datos!V20+Datos!AJ20))
     ),IF(J_V="SI",(Datos!L20-Datos!V20)/Datos!V20,(Datos!L20+Datos!AB20-(Datos!V20+Datos!AJ20))/(Datos!V20+Datos!AJ20))," - ")</f>
        <v>-7.233656174334141E-2</v>
      </c>
      <c r="F20" s="800">
        <f>IF(ISNUMBER((Datos!M20-Datos!W20)/Datos!W20),(Datos!M20-Datos!W20)/Datos!W20," - ")</f>
        <v>-0.23105360443622922</v>
      </c>
      <c r="G20" s="801">
        <f>IF(ISNUMBER((Datos!N20-Datos!X20)/Datos!X20),(Datos!N20-Datos!X20)/Datos!X20," - ")</f>
        <v>0.18323442136498516</v>
      </c>
      <c r="H20" s="802">
        <f>IF(ISNUMBER((Tasas!B20-Datos!BD20)/Datos!BD20),(Tasas!B20-Datos!BD20)/Datos!BD20," - ")</f>
        <v>0.12456171563753111</v>
      </c>
      <c r="I20" s="803">
        <f>IF(ISNUMBER((Tasas!C20-Datos!BE20)/Datos!BE20),(Tasas!C20-Datos!BE20)/Datos!BE20," - ")</f>
        <v>-1.1969665843608203E-2</v>
      </c>
      <c r="J20" s="804">
        <f>IF(ISNUMBER((Tasas!D20-Datos!BF20)/Datos!BF20),(Tasas!D20-Datos!BF20)/Datos!BF20," - ")</f>
        <v>0.18626730976624778</v>
      </c>
      <c r="K20" s="804">
        <f>IF(ISNUMBER((Tasas!E20-Datos!BG20)/Datos!BG20),(Tasas!E20-Datos!BG20)/Datos!BG20," - ")</f>
        <v>-3.0564425789252501E-3</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kisf52XIZ3ub2v81WEzJ50n6q6JrnQTS9XUEZuQR7FTSZCrYxYVGLYCxOqW6B+UKaNGv08ngxBcpECq5le1Gsg==" saltValue="90NX4J2hp99xArCA4CPAB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CACERES</v>
      </c>
    </row>
    <row r="4" spans="1:7" ht="11.25" customHeight="1" thickBot="1">
      <c r="B4" s="390" t="str">
        <f>Criterios!A11 &amp;"  "&amp;Criterios!B11</f>
        <v>Resumenes por Partidos Judiciales  CACERES</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0.80660134089736979</v>
      </c>
      <c r="C9" s="442">
        <f>IF(ISNUMBER(NºAsuntos!I9/NºAsuntos!G9),NºAsuntos!I9/NºAsuntos!G9," - ")</f>
        <v>2.4386189258312019</v>
      </c>
      <c r="D9" s="443">
        <f>IF(ISNUMBER('Resol  Asuntos'!D9/NºAsuntos!G9),'Resol  Asuntos'!D9/NºAsuntos!G9," - ")</f>
        <v>0.36764705882352944</v>
      </c>
      <c r="E9" s="444">
        <f>IF(ISNUMBER((NºAsuntos!C9+NºAsuntos!E9)/NºAsuntos!G9),(NºAsuntos!C9+NºAsuntos!E9)/NºAsuntos!G9," - ")</f>
        <v>3.4386189258312019</v>
      </c>
      <c r="G9" s="462"/>
    </row>
    <row r="10" spans="1:7" ht="21">
      <c r="A10" s="401" t="str">
        <f>Datos!A10</f>
        <v>Sección De Violencia sobre la Mujer del TI</v>
      </c>
      <c r="B10" s="441">
        <f>IF(ISNUMBER(NºAsuntos!G10/NºAsuntos!E10),NºAsuntos!G10/NºAsuntos!E10," - ")</f>
        <v>1.1914893617021276</v>
      </c>
      <c r="C10" s="442">
        <f>IF(ISNUMBER(NºAsuntos!I10/NºAsuntos!G10),NºAsuntos!I10/NºAsuntos!G10," - ")</f>
        <v>4.5535714285714288</v>
      </c>
      <c r="D10" s="443">
        <f>IF(ISNUMBER('Resol  Asuntos'!D10/NºAsuntos!G10),'Resol  Asuntos'!D10/NºAsuntos!G10," - ")</f>
        <v>0.48214285714285715</v>
      </c>
      <c r="E10" s="444">
        <f>IF(ISNUMBER((NºAsuntos!C10+NºAsuntos!E10)/NºAsuntos!G10),(NºAsuntos!C10+NºAsuntos!E10)/NºAsuntos!G10," - ")</f>
        <v>5.5535714285714288</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v>
      </c>
      <c r="C12" s="442">
        <f>IF(ISNUMBER(NºAsuntos!I12/NºAsuntos!G12),NºAsuntos!I12/NºAsuntos!G12," - ")</f>
        <v>9.4285714285714288</v>
      </c>
      <c r="D12" s="443">
        <f>IF(ISNUMBER('Resol  Asuntos'!D12/NºAsuntos!G12),'Resol  Asuntos'!D12/NºAsuntos!G12," - ")</f>
        <v>0.2857142857142857</v>
      </c>
      <c r="E12" s="444">
        <f>IF(ISNUMBER((NºAsuntos!C12+NºAsuntos!E12)/NºAsuntos!G12),(NºAsuntos!C12+NºAsuntos!E12)/NºAsuntos!G12," - ")</f>
        <v>10.428571428571429</v>
      </c>
      <c r="G12" s="462"/>
    </row>
    <row r="13" spans="1:7" ht="14.25" thickTop="1" thickBot="1">
      <c r="A13" s="845" t="str">
        <f>Datos!A13</f>
        <v>TOTAL</v>
      </c>
      <c r="B13" s="855">
        <f>IF(ISNUMBER(NºAsuntos!G13/NºAsuntos!E13),NºAsuntos!G13/NºAsuntos!E13," - ")</f>
        <v>0.81635725037631712</v>
      </c>
      <c r="C13" s="856">
        <f>IF(ISNUMBER(NºAsuntos!I13/NºAsuntos!G13),NºAsuntos!I13/NºAsuntos!G13," - ")</f>
        <v>2.5414874001229255</v>
      </c>
      <c r="D13" s="857">
        <f>IF(ISNUMBER('Resol  Asuntos'!D13/NºAsuntos!G13),'Resol  Asuntos'!D13/NºAsuntos!G13," - ")</f>
        <v>0.37123540258143822</v>
      </c>
      <c r="E13" s="858">
        <f>IF(ISNUMBER((NºAsuntos!C13+NºAsuntos!E13)/NºAsuntos!G13),(NºAsuntos!C13+NºAsuntos!E13)/NºAsuntos!G13," - ")</f>
        <v>3.5414874001229255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1.102861562258314</v>
      </c>
      <c r="C15" s="442">
        <f>IF(ISNUMBER(NºAsuntos!I15/NºAsuntos!G15),NºAsuntos!I15/NºAsuntos!G15," - ")</f>
        <v>1.2223001402524545</v>
      </c>
      <c r="D15" s="443">
        <f>IF(ISNUMBER('Resol  Asuntos'!D15/NºAsuntos!G15),'Resol  Asuntos'!D15/NºAsuntos!G15," - ")</f>
        <v>0.11781206171107994</v>
      </c>
      <c r="E15" s="444">
        <f>IF(ISNUMBER((NºAsuntos!C15+NºAsuntos!E15)/NºAsuntos!G15),(NºAsuntos!C15+NºAsuntos!E15)/NºAsuntos!G15," - ")</f>
        <v>2.2272089761570828</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f>IF(ISNUMBER(NºAsuntos!I17/NºAsuntos!G17),NºAsuntos!I17/NºAsuntos!G17," - ")</f>
        <v>1.2</v>
      </c>
      <c r="D17" s="443">
        <f>IF(ISNUMBER('Resol  Asuntos'!D17/NºAsuntos!G17),'Resol  Asuntos'!D17/NºAsuntos!G17," - ")</f>
        <v>0</v>
      </c>
      <c r="E17" s="444">
        <f>IF(ISNUMBER((NºAsuntos!C17+NºAsuntos!E17)/NºAsuntos!G17),(NºAsuntos!C17+NºAsuntos!E17)/NºAsuntos!G17," - ")</f>
        <v>2.2000000000000002</v>
      </c>
      <c r="G17" s="462"/>
    </row>
    <row r="18" spans="1:7" ht="21.75" thickBot="1">
      <c r="A18" s="401" t="str">
        <f>Datos!A18</f>
        <v>Sección De Violencia sobre la Mujer del TI</v>
      </c>
      <c r="B18" s="441">
        <f>IF(ISNUMBER(NºAsuntos!G18/NºAsuntos!E18),NºAsuntos!G18/NºAsuntos!E18," - ")</f>
        <v>1.0996168582375478</v>
      </c>
      <c r="C18" s="442">
        <f>IF(ISNUMBER(NºAsuntos!I18/NºAsuntos!G18),NºAsuntos!I18/NºAsuntos!G18," - ")</f>
        <v>0.40766550522648082</v>
      </c>
      <c r="D18" s="443">
        <f>IF(ISNUMBER('Resol  Asuntos'!D18/NºAsuntos!G18),'Resol  Asuntos'!D18/NºAsuntos!G18," - ")</f>
        <v>0.10452961672473868</v>
      </c>
      <c r="E18" s="444">
        <f>IF(ISNUMBER((NºAsuntos!C18+NºAsuntos!E18)/NºAsuntos!G18),(NºAsuntos!C18+NºAsuntos!E18)/NºAsuntos!G18," - ")</f>
        <v>1.4512195121951219</v>
      </c>
      <c r="G18" s="462"/>
    </row>
    <row r="19" spans="1:7" ht="14.25" thickTop="1" thickBot="1">
      <c r="A19" s="845" t="str">
        <f>Datos!A19</f>
        <v>TOTAL</v>
      </c>
      <c r="B19" s="855">
        <f>IF(ISNUMBER(NºAsuntos!G19/NºAsuntos!E19),NºAsuntos!G19/NºAsuntos!E19," - ")</f>
        <v>1.1101928374655647</v>
      </c>
      <c r="C19" s="856">
        <f>IF(ISNUMBER(NºAsuntos!I19/NºAsuntos!G19),NºAsuntos!I19/NºAsuntos!G19," - ")</f>
        <v>0.99007444168734493</v>
      </c>
      <c r="D19" s="859">
        <f>IF(ISNUMBER('Resol  Asuntos'!D19/NºAsuntos!G19),'Resol  Asuntos'!D19/NºAsuntos!G19," - ")</f>
        <v>0.11315136476426799</v>
      </c>
      <c r="E19" s="858">
        <f>IF(ISNUMBER((NºAsuntos!C19+NºAsuntos!E19)/NºAsuntos!G19),(NºAsuntos!C19+NºAsuntos!E19)/NºAsuntos!G19," - ")</f>
        <v>2.0059553349875929</v>
      </c>
      <c r="G19" s="462"/>
    </row>
    <row r="20" spans="1:7" ht="15.75" customHeight="1" thickTop="1" thickBot="1">
      <c r="A20" s="790" t="str">
        <f>Datos!A20</f>
        <v>TOTAL JURISDICCIONES</v>
      </c>
      <c r="B20" s="805">
        <f>IF(ISNUMBER(NºAsuntos!G20/NºAsuntos!E20),NºAsuntos!G20/NºAsuntos!E20," - ")</f>
        <v>0.95640756302521013</v>
      </c>
      <c r="C20" s="806">
        <f>IF(ISNUMBER(NºAsuntos!I20/NºAsuntos!G20),NºAsuntos!I20/NºAsuntos!G20," - ")</f>
        <v>1.6831411312465678</v>
      </c>
      <c r="D20" s="807">
        <f>IF(ISNUMBER('Resol  Asuntos'!D20/NºAsuntos!G20),'Resol  Asuntos'!D20/NºAsuntos!G20," - ")</f>
        <v>0.22844590884129598</v>
      </c>
      <c r="E20" s="808">
        <f>IF(ISNUMBER((NºAsuntos!C20+NºAsuntos!E20)/NºAsuntos!G20),(NºAsuntos!C20+NºAsuntos!E20)/NºAsuntos!G20," - ")</f>
        <v>2.6919275123558486</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N5/43awQT9hJCKb9bh6I9r0veKGLq9Hn3AjFiVq8nnO6YUyA1/S2Y7LozWVwkTM/lEB6tG5A5kjvdR+Ws+iBlw==" saltValue="pbJnUsQkw2XWYLOW05Ly0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CACERES</v>
      </c>
      <c r="N2" s="261" t="str">
        <f>Criterios!A11 &amp;"  "&amp;Criterios!B11</f>
        <v>Resumenes por Partidos Judiciales  CACERES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247</v>
      </c>
      <c r="C9" s="159" t="str">
        <f>Datos!A9</f>
        <v>Sección Civil del T.I</v>
      </c>
      <c r="D9" s="159"/>
      <c r="E9" s="1020">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606</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544</v>
      </c>
      <c r="Y9" s="333">
        <f>SUM(W9:X9)</f>
        <v>544</v>
      </c>
      <c r="Z9" s="334" t="str">
        <f>IF(ISNUMBER(Datos!CC9),Datos!CC9," - ")</f>
        <v xml:space="preserve"> - </v>
      </c>
      <c r="AA9" s="331" t="str">
        <f>IF(ISNUMBER(IF(J_V="SI",Datos!L9,Datos!L9+Datos!AB9)-IF(Monitorios="SI",Datos!CD9,0)),
                          IF(J_V="SI",Datos!L9,Datos!L9+Datos!AB9)-IF(Monitorios="SI",Datos!CD9,0),
                          " - ")</f>
        <v xml:space="preserve"> - </v>
      </c>
      <c r="AB9" s="333">
        <f>IF(ISNUMBER(Datos!R9),Datos!R9," - ")</f>
        <v>5006</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575</v>
      </c>
      <c r="AJ9" s="228" t="str">
        <f>IF(ISNUMBER(Datos!BW9),Datos!BW9," - ")</f>
        <v xml:space="preserve"> - </v>
      </c>
      <c r="AK9" s="227" t="str">
        <f>IF(ISNUMBER(Datos!BX9),Datos!BX9," - ")</f>
        <v xml:space="preserve"> - </v>
      </c>
      <c r="AL9" s="242">
        <f>IF(ISNUMBER(NºAsuntos!G9/NºAsuntos!E9),NºAsuntos!G9/NºAsuntos!E9," - ")</f>
        <v>0.80660134089736979</v>
      </c>
      <c r="AM9" s="259">
        <f>IF(ISNUMBER(((NºAsuntos!I9/NºAsuntos!G9)*11)/factor_trimestre),((NºAsuntos!I9/NºAsuntos!G9)*11)/factor_trimestre," - ")</f>
        <v>7.3158567774936065</v>
      </c>
      <c r="AN9" s="243">
        <f>IF(ISNUMBER('Resol  Asuntos'!D9/NºAsuntos!G9),'Resol  Asuntos'!D9/NºAsuntos!G9," - ")</f>
        <v>0.36764705882352944</v>
      </c>
      <c r="AO9" s="244">
        <f>IF(ISNUMBER((NºAsuntos!C9+NºAsuntos!E9)/NºAsuntos!G9),(NºAsuntos!C9+NºAsuntos!E9)/NºAsuntos!G9," - ")</f>
        <v>3.4386189258312019</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3</v>
      </c>
      <c r="B10" s="274" t="s">
        <v>247</v>
      </c>
      <c r="C10" s="7" t="str">
        <f>Datos!A10</f>
        <v>Sección De Violencia sobre la Mujer del TI</v>
      </c>
      <c r="D10" s="7"/>
      <c r="E10" s="1020">
        <f>IF(ISNUMBER(Datos!AQ10),Datos!AQ10," - ")</f>
        <v>2</v>
      </c>
      <c r="F10" s="224">
        <f>IF(ISNUMBER(Datos!L10+Datos!K10-Datos!J10-K10),Datos!L10+Datos!K10-Datos!J10-K10," - ")</f>
        <v>264</v>
      </c>
      <c r="G10" s="332">
        <f>IF(ISNUMBER(Datos!I10),Datos!I10," - ")</f>
        <v>264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56</v>
      </c>
      <c r="X10" s="225">
        <f>IF(ISNUMBER(Datos!Q10),Datos!Q10," - ")</f>
        <v>4</v>
      </c>
      <c r="Y10" s="333">
        <f t="shared" ref="Y10:Y12" si="0">SUM(W10:X10)</f>
        <v>60</v>
      </c>
      <c r="Z10" s="334" t="str">
        <f>IF(ISNUMBER(Datos!CC10),Datos!CC10," - ")</f>
        <v xml:space="preserve"> - </v>
      </c>
      <c r="AA10" s="331">
        <f>IF(ISNUMBER(Datos!L10),Datos!L10,"-")</f>
        <v>255</v>
      </c>
      <c r="AB10" s="333">
        <f>IF(ISNUMBER(Datos!R10),Datos!R10," - ")</f>
        <v>23</v>
      </c>
      <c r="AC10" s="333">
        <f t="shared" ref="AC10:AC12" si="1">IF(ISNUMBER(AA10+AB10),AA10+AB10," - ")</f>
        <v>278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27</v>
      </c>
      <c r="AJ10" s="230" t="str">
        <f>IF(ISNUMBER(Datos!BW10),Datos!BW10," - ")</f>
        <v xml:space="preserve"> - </v>
      </c>
      <c r="AK10" s="231" t="str">
        <f>IF(ISNUMBER(Datos!BX10),Datos!BX10," - ")</f>
        <v xml:space="preserve"> - </v>
      </c>
      <c r="AL10" s="242">
        <f>IF(ISNUMBER(NºAsuntos!G10/NºAsuntos!E10),NºAsuntos!G10/NºAsuntos!E10," - ")</f>
        <v>1.1914893617021276</v>
      </c>
      <c r="AM10" s="259">
        <f>IF(ISNUMBER(((NºAsuntos!I10/NºAsuntos!G10)*11)/factor_trimestre),((NºAsuntos!I10/NºAsuntos!G10)*11)/factor_trimestre," - ")</f>
        <v>13.660714285714286</v>
      </c>
      <c r="AN10" s="243">
        <f>IF(ISNUMBER('Resol  Asuntos'!D10/NºAsuntos!G10),'Resol  Asuntos'!D10/NºAsuntos!G10," - ")</f>
        <v>0.48214285714285715</v>
      </c>
      <c r="AO10" s="244">
        <f>IF(ISNUMBER((NºAsuntos!C10+NºAsuntos!E10)/NºAsuntos!G10),(NºAsuntos!C10+NºAsuntos!E10)/NºAsuntos!G10," - ")</f>
        <v>5.5535714285714288</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51</v>
      </c>
      <c r="Y12" s="333">
        <f t="shared" si="0"/>
        <v>51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1728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v>
      </c>
      <c r="AJ12" s="228" t="str">
        <f>IF(ISNUMBER(Datos!BW12),Datos!BW12," - ")</f>
        <v xml:space="preserve"> - </v>
      </c>
      <c r="AK12" s="227" t="str">
        <f>IF(ISNUMBER(Datos!BX12),Datos!BX12," - ")</f>
        <v xml:space="preserve"> - </v>
      </c>
      <c r="AL12" s="242">
        <f>IF(ISNUMBER(NºAsuntos!G12/NºAsuntos!E12),NºAsuntos!G12/NºAsuntos!E12," - ")</f>
        <v>1</v>
      </c>
      <c r="AM12" s="259">
        <f>IF(ISNUMBER(((NºAsuntos!I12/NºAsuntos!G12)*11)/factor_trimestre),((NºAsuntos!I12/NºAsuntos!G12)*11)/factor_trimestre," - ")</f>
        <v>28.285714285714288</v>
      </c>
      <c r="AN12" s="243">
        <f>IF(ISNUMBER('Resol  Asuntos'!D12/NºAsuntos!G12),'Resol  Asuntos'!D12/NºAsuntos!G12," - ")</f>
        <v>0.2857142857142857</v>
      </c>
      <c r="AO12" s="244">
        <f>IF(ISNUMBER((NºAsuntos!C12+NºAsuntos!E12)/NºAsuntos!G12),(NºAsuntos!C12+NºAsuntos!E12)/NºAsuntos!G12," - ")</f>
        <v>10.428571428571429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7</v>
      </c>
      <c r="F13" s="862">
        <f t="shared" si="3"/>
        <v>264</v>
      </c>
      <c r="G13" s="863">
        <f t="shared" si="3"/>
        <v>264</v>
      </c>
      <c r="H13" s="862">
        <f t="shared" si="3"/>
        <v>0</v>
      </c>
      <c r="I13" s="864">
        <f t="shared" si="3"/>
        <v>0</v>
      </c>
      <c r="J13" s="864">
        <f t="shared" si="3"/>
        <v>0</v>
      </c>
      <c r="K13" s="864">
        <f t="shared" si="3"/>
        <v>0</v>
      </c>
      <c r="L13" s="864">
        <f t="shared" si="3"/>
        <v>611</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56</v>
      </c>
      <c r="X13" s="864">
        <f t="shared" si="4"/>
        <v>599</v>
      </c>
      <c r="Y13" s="865">
        <f t="shared" si="4"/>
        <v>655</v>
      </c>
      <c r="Z13" s="865">
        <f t="shared" si="4"/>
        <v>0</v>
      </c>
      <c r="AA13" s="865">
        <f t="shared" si="4"/>
        <v>255</v>
      </c>
      <c r="AB13" s="865">
        <f t="shared" si="4"/>
        <v>6757</v>
      </c>
      <c r="AC13" s="865">
        <f t="shared" si="4"/>
        <v>278</v>
      </c>
      <c r="AD13" s="865">
        <f t="shared" si="4"/>
        <v>0</v>
      </c>
      <c r="AE13" s="869">
        <f t="shared" si="4"/>
        <v>0</v>
      </c>
      <c r="AF13" s="862">
        <f t="shared" si="4"/>
        <v>0</v>
      </c>
      <c r="AG13" s="870">
        <f t="shared" si="4"/>
        <v>0</v>
      </c>
      <c r="AH13" s="867">
        <f t="shared" si="4"/>
        <v>0</v>
      </c>
      <c r="AI13" s="862">
        <f t="shared" si="4"/>
        <v>604</v>
      </c>
      <c r="AJ13" s="864">
        <f t="shared" si="4"/>
        <v>0</v>
      </c>
      <c r="AK13" s="867">
        <f>SUBTOTAL(9,AK9:AK12)</f>
        <v>0</v>
      </c>
      <c r="AL13" s="871">
        <f>IF(ISNUMBER(NºAsuntos!G13/NºAsuntos!E13),NºAsuntos!G13/NºAsuntos!E13," - ")</f>
        <v>0.81635725037631712</v>
      </c>
      <c r="AM13" s="871">
        <f>IF(ISNUMBER(((NºAsuntos!I13/NºAsuntos!G13)*11)/factor_trimestre),((NºAsuntos!I13/NºAsuntos!G13)*11)/factor_trimestre," - ")</f>
        <v>7.6244622003687761</v>
      </c>
      <c r="AN13" s="872">
        <f>IF(ISNUMBER('Resol  Asuntos'!D13/NºAsuntos!G13),'Resol  Asuntos'!D13/NºAsuntos!G13," - ")</f>
        <v>0.37123540258143822</v>
      </c>
      <c r="AO13" s="873">
        <f>IF(ISNUMBER((NºAsuntos!C13+NºAsuntos!E13)/NºAsuntos!G13),(NºAsuntos!C13+NºAsuntos!E13)/NºAsuntos!G13," - ")</f>
        <v>3.5414874001229255</v>
      </c>
      <c r="AP13" s="874" t="str">
        <f t="shared" si="2"/>
        <v xml:space="preserve"> - </v>
      </c>
      <c r="AQ13" s="874">
        <f>IF(ISNUMBER((H13-W13+K13)/(F13)),(H13-W13+K13)/(F13)," - ")</f>
        <v>-0.21212121212121213</v>
      </c>
      <c r="AR13" s="875">
        <f>IF(ISNUMBER((Datos!P13-Datos!Q13)/(Datos!R13-Datos!P13+Datos!Q13)),(Datos!P13-Datos!Q13)/(Datos!R13-Datos!P13+Datos!Q13)," - ")</f>
        <v>1.7790956263899185E-3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3</v>
      </c>
      <c r="B15" s="274" t="s">
        <v>397</v>
      </c>
      <c r="C15" s="159" t="str">
        <f>Datos!A15</f>
        <v xml:space="preserve">Seccion Instruccion Del T.I.                   </v>
      </c>
      <c r="D15" s="159"/>
      <c r="E15" s="1020">
        <f>IF(ISNUMBER(Datos!AQ15),Datos!AQ15," - ")</f>
        <v>3</v>
      </c>
      <c r="F15" s="224">
        <f>IF(ISNUMBER(AA15+W15-Datos!J15-K15),AA15+W15-Datos!J15-K15," - ")</f>
        <v>1876</v>
      </c>
      <c r="G15" s="332">
        <f>IF(ISNUMBER(IF(D_I="SI",Datos!I15,Datos!I15+Datos!AC15)),IF(D_I="SI",Datos!I15,Datos!I15+Datos!AC15)," - ")</f>
        <v>1883</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64</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1426</v>
      </c>
      <c r="X15" s="225">
        <f>IF(ISNUMBER(Datos!Q15),Datos!Q15," - ")</f>
        <v>83</v>
      </c>
      <c r="Y15" s="333">
        <f>SUM(W15)</f>
        <v>1426</v>
      </c>
      <c r="Z15" s="334" t="str">
        <f>IF(ISNUMBER(Datos!CC15),Datos!CC15," - ")</f>
        <v xml:space="preserve"> - </v>
      </c>
      <c r="AA15" s="331">
        <f>IF(ISNUMBER(IF(D_I="SI",Datos!L15,Datos!L15+Datos!AF15)),IF(D_I="SI",Datos!L15,Datos!L15+Datos!AF15)," - ")</f>
        <v>1743</v>
      </c>
      <c r="AB15" s="333">
        <f>IF(ISNUMBER(Datos!R15),Datos!R15," - ")</f>
        <v>373</v>
      </c>
      <c r="AC15" s="333">
        <f t="shared" ref="AC15:AC18" si="6">IF(ISNUMBER(AA15+AB15),AA15+AB15," - ")</f>
        <v>2116</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168</v>
      </c>
      <c r="AJ15" s="230" t="str">
        <f>IF(ISNUMBER(Datos!BW15),Datos!BW15," - ")</f>
        <v xml:space="preserve"> - </v>
      </c>
      <c r="AK15" s="231" t="str">
        <f>IF(ISNUMBER(Datos!BX15),Datos!BX15," - ")</f>
        <v xml:space="preserve"> - </v>
      </c>
      <c r="AL15" s="242">
        <f>IF(ISNUMBER(NºAsuntos!G15/NºAsuntos!E15),NºAsuntos!G15/NºAsuntos!E15," - ")</f>
        <v>1.102861562258314</v>
      </c>
      <c r="AM15" s="259">
        <f>IF(ISNUMBER(((NºAsuntos!I15/NºAsuntos!G15)*11)/factor_trimestre),((NºAsuntos!I15/NºAsuntos!G15)*11)/factor_trimestre," - ")</f>
        <v>3.6669004207573637</v>
      </c>
      <c r="AN15" s="243">
        <f>IF(ISNUMBER('Resol  Asuntos'!D15/NºAsuntos!G15),'Resol  Asuntos'!D15/NºAsuntos!G15," - ")</f>
        <v>0.11781206171107994</v>
      </c>
      <c r="AO15" s="244">
        <f>IF(ISNUMBER((NºAsuntos!C15+NºAsuntos!E15)/NºAsuntos!G15),(NºAsuntos!C15+NºAsuntos!E15)/NºAsuntos!G15," - ")</f>
        <v>2.2272089761570828</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f>IF(ISNUMBER(AA17+W17-Datos!J17-K17),AA17+W17-Datos!J17-K17," - ")</f>
        <v>33</v>
      </c>
      <c r="G17" s="332">
        <f>IF(ISNUMBER(IF(D_I="SI",Datos!I17,Datos!I17+Datos!AC17)),IF(D_I="SI",Datos!I17,Datos!I17+Datos!AC17)," - ")</f>
        <v>33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15</v>
      </c>
      <c r="X17" s="225">
        <f>IF(ISNUMBER(Datos!Q17),Datos!Q17," - ")</f>
        <v>0</v>
      </c>
      <c r="Y17" s="333">
        <f t="shared" ref="Y17:Y18" si="9">SUM(W17:X17)</f>
        <v>15</v>
      </c>
      <c r="Z17" s="334" t="str">
        <f>IF(ISNUMBER(Datos!CC17),Datos!CC17," - ")</f>
        <v xml:space="preserve"> - </v>
      </c>
      <c r="AA17" s="331">
        <f>IF(ISNUMBER(IF(D_I="SI",Datos!L17,Datos!L17+Datos!AF17)),IF(D_I="SI",Datos!L17,Datos!L17+Datos!AF17)," - ")</f>
        <v>18</v>
      </c>
      <c r="AB17" s="333">
        <f>IF(ISNUMBER(Datos!R17),Datos!R17," - ")</f>
        <v>23</v>
      </c>
      <c r="AC17" s="333">
        <f t="shared" si="6"/>
        <v>41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f>IF(ISNUMBER(((NºAsuntos!I17/NºAsuntos!G17)*11)/factor_trimestre),((NºAsuntos!I17/NºAsuntos!G17)*11)/factor_trimestre," - ")</f>
        <v>3.6</v>
      </c>
      <c r="AN17" s="243">
        <f>IF(ISNUMBER('Resol  Asuntos'!D17/NºAsuntos!G17),'Resol  Asuntos'!D17/NºAsuntos!G17," - ")</f>
        <v>0</v>
      </c>
      <c r="AO17" s="244">
        <f>IF(ISNUMBER((NºAsuntos!C17+NºAsuntos!E17)/NºAsuntos!G17),(NºAsuntos!C17+NºAsuntos!E17)/NºAsuntos!G17," - ")</f>
        <v>2.2000000000000002</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3</v>
      </c>
      <c r="B18" s="274" t="s">
        <v>397</v>
      </c>
      <c r="C18" s="7" t="str">
        <f>Datos!A18</f>
        <v>Sección De Violencia sobre la Mujer del TI</v>
      </c>
      <c r="D18" s="7"/>
      <c r="E18" s="1020">
        <f>IF(ISNUMBER(Datos!AQ18),Datos!AQ18," - ")</f>
        <v>2</v>
      </c>
      <c r="F18" s="224" t="str">
        <f>IF(ISNUMBER(AA18+W18-H18-K18),AA18+W18-H18-K18," - ")</f>
        <v xml:space="preserve"> - </v>
      </c>
      <c r="G18" s="332">
        <f>IF(ISNUMBER(IF(D_I="SI",Datos!I18,Datos!I18+Datos!AC18)),IF(D_I="SI",Datos!I18,Datos!I18+Datos!AC18)," - ")</f>
        <v>311</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6</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574</v>
      </c>
      <c r="X18" s="225">
        <f>IF(ISNUMBER(Datos!Q18),Datos!Q18," - ")</f>
        <v>0</v>
      </c>
      <c r="Y18" s="333">
        <f t="shared" si="9"/>
        <v>574</v>
      </c>
      <c r="Z18" s="334" t="str">
        <f>IF(ISNUMBER(Datos!CC18),Datos!CC18," - ")</f>
        <v xml:space="preserve"> - </v>
      </c>
      <c r="AA18" s="331">
        <f>IF(ISNUMBER(Datos!L18),Datos!L18,"-")</f>
        <v>234</v>
      </c>
      <c r="AB18" s="333">
        <f>IF(ISNUMBER(Datos!R18),Datos!R18," - ")</f>
        <v>24</v>
      </c>
      <c r="AC18" s="333">
        <f t="shared" si="6"/>
        <v>258</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60</v>
      </c>
      <c r="AJ18" s="230" t="str">
        <f>IF(ISNUMBER(Datos!BW18),Datos!BW18," - ")</f>
        <v xml:space="preserve"> - </v>
      </c>
      <c r="AK18" s="231" t="str">
        <f>IF(ISNUMBER(Datos!BX18),Datos!BX18," - ")</f>
        <v xml:space="preserve"> - </v>
      </c>
      <c r="AL18" s="242">
        <f>IF(ISNUMBER(NºAsuntos!G18/NºAsuntos!E18),NºAsuntos!G18/NºAsuntos!E18," - ")</f>
        <v>1.0996168582375478</v>
      </c>
      <c r="AM18" s="259">
        <f>IF(ISNUMBER(((NºAsuntos!I18/NºAsuntos!G18)*11)/factor_trimestre),((NºAsuntos!I18/NºAsuntos!G18)*11)/factor_trimestre," - ")</f>
        <v>1.2229965156794425</v>
      </c>
      <c r="AN18" s="243">
        <f>IF(ISNUMBER('Resol  Asuntos'!D18/NºAsuntos!G18),'Resol  Asuntos'!D18/NºAsuntos!G18," - ")</f>
        <v>0.10452961672473868</v>
      </c>
      <c r="AO18" s="244">
        <f>IF(ISNUMBER((NºAsuntos!C18+NºAsuntos!E18)/NºAsuntos!G18),(NºAsuntos!C18+NºAsuntos!E18)/NºAsuntos!G18," - ")</f>
        <v>1.4512195121951219</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5</v>
      </c>
      <c r="F19" s="862">
        <f>SUBTOTAL(9,F14:F18)</f>
        <v>1909</v>
      </c>
      <c r="G19" s="863">
        <f>SUBTOTAL(9,G15:G18)</f>
        <v>2227</v>
      </c>
      <c r="H19" s="862">
        <f t="shared" ref="H19:O19" si="12">SUBTOTAL(9,H14:H18)</f>
        <v>0</v>
      </c>
      <c r="I19" s="864">
        <f t="shared" si="12"/>
        <v>0</v>
      </c>
      <c r="J19" s="864">
        <f t="shared" si="12"/>
        <v>0</v>
      </c>
      <c r="K19" s="864">
        <f t="shared" si="12"/>
        <v>0</v>
      </c>
      <c r="L19" s="864">
        <f t="shared" si="12"/>
        <v>70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2015</v>
      </c>
      <c r="X19" s="864">
        <f t="shared" si="13"/>
        <v>83</v>
      </c>
      <c r="Y19" s="865">
        <f t="shared" si="13"/>
        <v>2015</v>
      </c>
      <c r="Z19" s="865">
        <f t="shared" si="13"/>
        <v>0</v>
      </c>
      <c r="AA19" s="865">
        <f t="shared" si="13"/>
        <v>1995</v>
      </c>
      <c r="AB19" s="865">
        <f t="shared" si="13"/>
        <v>420</v>
      </c>
      <c r="AC19" s="865">
        <f t="shared" si="13"/>
        <v>2415</v>
      </c>
      <c r="AD19" s="865">
        <f t="shared" si="13"/>
        <v>0</v>
      </c>
      <c r="AE19" s="869">
        <f t="shared" si="13"/>
        <v>0</v>
      </c>
      <c r="AF19" s="862">
        <f t="shared" si="13"/>
        <v>0</v>
      </c>
      <c r="AG19" s="870">
        <f t="shared" si="13"/>
        <v>0</v>
      </c>
      <c r="AH19" s="867">
        <f t="shared" si="13"/>
        <v>0</v>
      </c>
      <c r="AI19" s="862">
        <f t="shared" si="13"/>
        <v>228</v>
      </c>
      <c r="AJ19" s="864">
        <f t="shared" si="13"/>
        <v>0</v>
      </c>
      <c r="AK19" s="867">
        <f t="shared" si="13"/>
        <v>0</v>
      </c>
      <c r="AL19" s="871">
        <f>IF(ISNUMBER(NºAsuntos!G19/NºAsuntos!E19),NºAsuntos!G19/NºAsuntos!E19," - ")</f>
        <v>1.1101928374655647</v>
      </c>
      <c r="AM19" s="871">
        <f>IF(ISNUMBER(((NºAsuntos!I19/NºAsuntos!G19)*11)/factor_trimestre),((NºAsuntos!I19/NºAsuntos!G19)*11)/factor_trimestre," - ")</f>
        <v>2.9702233250620349</v>
      </c>
      <c r="AN19" s="872">
        <f>IF(ISNUMBER('Resol  Asuntos'!D19/NºAsuntos!G19),'Resol  Asuntos'!D19/NºAsuntos!G19," - ")</f>
        <v>0.11315136476426799</v>
      </c>
      <c r="AO19" s="873">
        <f>IF(ISNUMBER((NºAsuntos!C19+NºAsuntos!E19)/NºAsuntos!G19),(NºAsuntos!C19+NºAsuntos!E19)/NºAsuntos!G19," - ")</f>
        <v>2.0059553349875929</v>
      </c>
      <c r="AP19" s="874" t="str">
        <f t="shared" si="2"/>
        <v xml:space="preserve"> - </v>
      </c>
      <c r="AQ19" s="874">
        <f>IF(ISNUMBER((H19-W19+K19)/(F19)),(H19-W19+K19)/(F19)," - ")</f>
        <v>-1.0555264536406495</v>
      </c>
      <c r="AR19" s="875">
        <f>IF(ISNUMBER((Datos!P19-Datos!Q19)/(Datos!R19-Datos!P19+Datos!Q19)),(Datos!P19-Datos!Q19)/(Datos!R19-Datos!P19+Datos!Q19)," - ")</f>
        <v>-3.0023094688221709E-2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12</v>
      </c>
      <c r="F20" s="817">
        <f t="shared" si="15"/>
        <v>2173</v>
      </c>
      <c r="G20" s="818">
        <f t="shared" si="15"/>
        <v>2491</v>
      </c>
      <c r="H20" s="817">
        <f t="shared" si="15"/>
        <v>0</v>
      </c>
      <c r="I20" s="819">
        <f t="shared" si="15"/>
        <v>0</v>
      </c>
      <c r="J20" s="819">
        <f t="shared" si="15"/>
        <v>0</v>
      </c>
      <c r="K20" s="878">
        <f t="shared" si="15"/>
        <v>0</v>
      </c>
      <c r="L20" s="819">
        <f t="shared" si="15"/>
        <v>681</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2071</v>
      </c>
      <c r="X20" s="818">
        <f t="shared" si="16"/>
        <v>682</v>
      </c>
      <c r="Y20" s="825">
        <f t="shared" si="16"/>
        <v>2670</v>
      </c>
      <c r="Z20" s="825">
        <f t="shared" si="16"/>
        <v>0</v>
      </c>
      <c r="AA20" s="825">
        <f t="shared" si="16"/>
        <v>2250</v>
      </c>
      <c r="AB20" s="825">
        <f t="shared" si="16"/>
        <v>7177</v>
      </c>
      <c r="AC20" s="825">
        <f t="shared" si="16"/>
        <v>2693</v>
      </c>
      <c r="AD20" s="825">
        <f t="shared" si="16"/>
        <v>0</v>
      </c>
      <c r="AE20" s="827">
        <f t="shared" si="16"/>
        <v>0</v>
      </c>
      <c r="AF20" s="828">
        <f t="shared" si="16"/>
        <v>0</v>
      </c>
      <c r="AG20" s="829">
        <f t="shared" si="16"/>
        <v>0</v>
      </c>
      <c r="AH20" s="827">
        <f t="shared" si="16"/>
        <v>0</v>
      </c>
      <c r="AI20" s="817">
        <f t="shared" si="16"/>
        <v>832</v>
      </c>
      <c r="AJ20" s="817">
        <f t="shared" si="16"/>
        <v>0</v>
      </c>
      <c r="AK20" s="827">
        <f t="shared" si="16"/>
        <v>0</v>
      </c>
      <c r="AL20" s="881">
        <f>IF(ISNUMBER(NºAsuntos!G20/NºAsuntos!E20),NºAsuntos!G20/NºAsuntos!E20," - ")</f>
        <v>0.95640756302521013</v>
      </c>
      <c r="AM20" s="882">
        <f>IF(ISNUMBER(((NºAsuntos!I20/NºAsuntos!G20)*11)/factor_trimestre),((NºAsuntos!I20/NºAsuntos!G20)*11)/factor_trimestre," - ")</f>
        <v>5.0494233937397039</v>
      </c>
      <c r="AN20" s="882">
        <f>IF(ISNUMBER('Resol  Asuntos'!D20/NºAsuntos!G20),'Resol  Asuntos'!D20/NºAsuntos!G20," - ")</f>
        <v>0.22844590884129598</v>
      </c>
      <c r="AO20" s="883">
        <f>IF(ISNUMBER((NºAsuntos!C20+NºAsuntos!E20)/NºAsuntos!G20),(NºAsuntos!C20+NºAsuntos!E20)/NºAsuntos!G20," - ")</f>
        <v>2.6919275123558486</v>
      </c>
      <c r="AP20" s="884" t="str">
        <f t="shared" si="2"/>
        <v xml:space="preserve"> - </v>
      </c>
      <c r="AQ20" s="885">
        <f>IF(OR(ISNUMBER(FIND("01",Criterios!A8,1)),ISNUMBER(FIND("02",Criterios!A8,1)),ISNUMBER(FIND("03",Criterios!A8,1)),ISNUMBER(FIND("04",Criterios!A8,1))),(I20-W20+K20)/(F20-K20),(H20-W20+K20)/(F20-K20))</f>
        <v>-0.95306028531983433</v>
      </c>
      <c r="AR20" s="886">
        <f>IF(ISNUMBER((Datos!P20-Datos!Q20)/(Datos!R20-Datos!P20+Datos!Q20)),(Datos!P20-Datos!Q20)/(Datos!R20-Datos!P20+Datos!Q20)," - ")</f>
        <v>-1.3931457230426304E-4</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830.33333333333337</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2.5473297566057065</v>
      </c>
      <c r="F22" s="251">
        <f>IF(ISNUMBER(STDEV(F8:F19)),STDEV(F8:F19),"-")</f>
        <v>938.96150080820667</v>
      </c>
      <c r="G22" s="252">
        <f>IF(ISNUMBER(STDEV(G8:G19)),STDEV(G8:G19),"-")</f>
        <v>959.76031730149521</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845.02228767451265</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248.96069684074345</v>
      </c>
      <c r="AJ22" s="251">
        <f t="shared" si="20"/>
        <v>0</v>
      </c>
      <c r="AK22" s="253">
        <f t="shared" si="20"/>
        <v>0</v>
      </c>
      <c r="AL22" s="248">
        <f t="shared" si="20"/>
        <v>0.15173105966361058</v>
      </c>
      <c r="AM22" s="249">
        <f t="shared" si="20"/>
        <v>8.8734213486383169</v>
      </c>
      <c r="AN22" s="249">
        <f t="shared" si="20"/>
        <v>0.16922351442051084</v>
      </c>
      <c r="AO22" s="250">
        <f t="shared" si="20"/>
        <v>2.9508957356360819</v>
      </c>
      <c r="AP22" s="290" t="str">
        <f t="shared" si="20"/>
        <v>-</v>
      </c>
      <c r="AQ22" s="291">
        <f t="shared" si="20"/>
        <v>0.5963775655666721</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H2FoJ8QH2b1tBzkp2Gn5q2jLxzKl5XEg82QMiV7BzDFQn2wESBgr7VUxPgM7H/uGnJWflmMx9Gjhmw5ILqdHjw==" saltValue="PmSoT42E2WGyjgciJaQ/m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CACERES</v>
      </c>
      <c r="E3" s="262"/>
    </row>
    <row r="4" spans="2:20" ht="17.25" customHeight="1" thickBot="1">
      <c r="D4" s="261" t="str">
        <f>Criterios!A11 &amp;"  "&amp;Criterios!B11</f>
        <v>Resumenes por Partidos Judiciales  CACERES</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-0.28125</v>
      </c>
      <c r="I9" s="349">
        <f>IF(ISNUMBER((Tasas!C9-Datos!BE9)/Datos!BE9),(Tasas!C9-Datos!BE9)/Datos!BE9," - ")</f>
        <v>0.25330943832382441</v>
      </c>
      <c r="J9" s="348">
        <f>IF(ISNUMBER((Tasas!D9-Datos!BF9)/Datos!BF9),(Tasas!D9-Datos!BF9)/Datos!BF9," - ")</f>
        <v>0.71248237857234409</v>
      </c>
      <c r="K9" s="350">
        <f>IF(ISNUMBER((Tasas!E9-Datos!BG9)/Datos!BG9),(Tasas!E9-Datos!BG9)/Datos!BG9," - ")</f>
        <v>0.16472865390163327</v>
      </c>
      <c r="M9" t="e">
        <f>IF(Monitorios="SI",Datos!CE9,0)</f>
        <v>#REF!</v>
      </c>
      <c r="N9" t="e">
        <f>IF(Monitorios="SI",Datos!CF9,0)</f>
        <v>#REF!</v>
      </c>
      <c r="O9" t="e">
        <f>IF(Monitorios="SI",Datos!CG9,0)</f>
        <v>#REF!</v>
      </c>
      <c r="P9" t="e">
        <f>IF(Monitorios="SI",Datos!CH9,0)</f>
        <v>#REF!</v>
      </c>
      <c r="Q9">
        <f>IF(J_V="SI",0,Datos!AG9)</f>
        <v>255</v>
      </c>
      <c r="R9">
        <f>IF(J_V="SI",0,Datos!AH9)</f>
        <v>224</v>
      </c>
      <c r="S9">
        <f>IF(J_V="SI",0,Datos!AI9)</f>
        <v>203</v>
      </c>
      <c r="T9">
        <f>IF(J_V="SI",0,Datos!AJ9)</f>
        <v>255</v>
      </c>
    </row>
    <row r="10" spans="2:20" ht="14.25">
      <c r="B10" s="274" t="s">
        <v>247</v>
      </c>
      <c r="C10" s="7" t="str">
        <f>Datos!A10</f>
        <v>Sección De Violencia sobre la Mujer del TI</v>
      </c>
      <c r="D10" s="351">
        <f>IF(ISNUMBER((Datos!I10-Datos!S10)/Datos!S10),(Datos!I10-Datos!S10)/Datos!S10," - ")</f>
        <v>0.21658986175115208</v>
      </c>
      <c r="E10" s="347">
        <f>IF(ISNUMBER((Datos!J10-Datos!T10)/Datos!T10),(Datos!J10-Datos!T10)/Datos!T10," - ")</f>
        <v>0.11904761904761904</v>
      </c>
      <c r="F10" s="347">
        <f>IF(ISNUMBER((Datos!K10-Datos!U10)/Datos!U10),(Datos!K10-Datos!U10)/Datos!U10," - ")</f>
        <v>1</v>
      </c>
      <c r="G10" s="348">
        <f>IF(ISNUMBER((Datos!L10-Datos!V10)/Datos!V10),(Datos!L10-Datos!V10)/Datos!V10," - ")</f>
        <v>0.1038961038961039</v>
      </c>
      <c r="H10" s="229">
        <f>IF(ISNUMBER((Datos!M10-Datos!W10)/Datos!W10),(Datos!M10-Datos!W10)/Datos!W10," - ")</f>
        <v>0.2857142857142857</v>
      </c>
      <c r="I10" s="349">
        <f>IF(ISNUMBER((Tasas!C10-Datos!BE10)/Datos!BE10),(Tasas!C10-Datos!BE10)/Datos!BE10," - ")</f>
        <v>-0.44805194805194803</v>
      </c>
      <c r="J10" s="348">
        <f>IF(ISNUMBER((Tasas!D10-Datos!BF10)/Datos!BF10),(Tasas!D10-Datos!BF10)/Datos!BF10," - ")</f>
        <v>-0.35714285714285715</v>
      </c>
      <c r="K10" s="350">
        <f>IF(ISNUMBER((Tasas!E10-Datos!BG10)/Datos!BG10),(Tasas!E10-Datos!BG10)/Datos!BG10," - ")</f>
        <v>-0.39961389961389959</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v>
      </c>
      <c r="I12" s="349">
        <f>IF(ISNUMBER((Tasas!C12-Datos!BE12)/Datos!BE12),(Tasas!C12-Datos!BE12)/Datos!BE12," - ")</f>
        <v>0.7142857142857143</v>
      </c>
      <c r="J12" s="348">
        <f>IF(ISNUMBER((Tasas!D12-Datos!BF12)/Datos!BF12),(Tasas!D12-Datos!BF12)/Datos!BF12," - ")</f>
        <v>-0.35714285714285715</v>
      </c>
      <c r="K12" s="350">
        <f>IF(ISNUMBER((Tasas!E12-Datos!BG12)/Datos!BG12),(Tasas!E12-Datos!BG12)/Datos!BG12," - ")</f>
        <v>0.60439560439560447</v>
      </c>
      <c r="M12" t="e">
        <f>IF(Monitorios="SI",Datos!CE12,0)</f>
        <v>#REF!</v>
      </c>
      <c r="N12" t="e">
        <f>IF(Monitorios="SI",Datos!CF12,0)</f>
        <v>#REF!</v>
      </c>
      <c r="O12" t="e">
        <f>IF(Monitorios="SI",Datos!CG12,0)</f>
        <v>#REF!</v>
      </c>
      <c r="P12" t="e">
        <f>IF(Monitorios="SI",Datos!CH12,0)</f>
        <v>#REF!</v>
      </c>
      <c r="Q12">
        <f>IF(J_V="SI",0,Datos!AG12)</f>
        <v>27</v>
      </c>
      <c r="R12">
        <f>IF(J_V="SI",0,Datos!AH12)</f>
        <v>0</v>
      </c>
      <c r="S12">
        <f>IF(J_V="SI",0,Datos!AI12)</f>
        <v>3</v>
      </c>
      <c r="T12">
        <f>IF(J_V="SI",0,Datos!AJ12)</f>
        <v>24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-0.26609963547995141</v>
      </c>
      <c r="I13" s="356">
        <f>IF(ISNUMBER((Tasas!C13-Datos!BE13)/Datos!BE13),(Tasas!C13-Datos!BE13)/Datos!BE13," - ")</f>
        <v>0.23621569752081734</v>
      </c>
      <c r="J13" s="354">
        <f>IF(ISNUMBER((Tasas!D13-Datos!BF13)/Datos!BF13),(Tasas!D13-Datos!BF13)/Datos!BF13," - ")</f>
        <v>0.66143057220873158</v>
      </c>
      <c r="K13" s="357">
        <f>IF(ISNUMBER((Tasas!E13-Datos!BG13)/Datos!BG13),(Tasas!E13-Datos!BG13)/Datos!BG13," - ")</f>
        <v>0.15649050267172096</v>
      </c>
      <c r="M13" t="e">
        <f>IF(Monitorios="SI",Datos!CE13,0)</f>
        <v>#REF!</v>
      </c>
      <c r="N13" t="e">
        <f>IF(Monitorios="SI",Datos!CF13,0)</f>
        <v>#REF!</v>
      </c>
      <c r="O13" t="e">
        <f>IF(Monitorios="SI",Datos!CG13,0)</f>
        <v>#REF!</v>
      </c>
      <c r="P13" t="e">
        <f>IF(Monitorios="SI",Datos!CH13,0)</f>
        <v>#REF!</v>
      </c>
      <c r="Q13">
        <f>IF(J_V="SI",0,Datos!AG13)</f>
        <v>282</v>
      </c>
      <c r="R13">
        <f>IF(J_V="SI",0,Datos!AH13)</f>
        <v>224</v>
      </c>
      <c r="S13">
        <f>IF(J_V="SI",0,Datos!AI13)</f>
        <v>206</v>
      </c>
      <c r="T13">
        <f>IF(J_V="SI",0,Datos!AJ13)</f>
        <v>279</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6.6251415628539076E-2</v>
      </c>
      <c r="E15" s="347">
        <f>IF(ISNUMBER(
   IF(D_I="SI",(Datos!J15-Datos!T15)/Datos!T15,(Datos!J15+Datos!AD15-(Datos!T15+Datos!AL15))/(Datos!T15+Datos!AL15))
     ),IF(D_I="SI",(Datos!J15-Datos!T15)/Datos!T15,(Datos!J15+Datos!AD15-(Datos!T15+Datos!AL15))/(Datos!T15+Datos!AL15))," - ")</f>
        <v>2.3255813953488372E-3</v>
      </c>
      <c r="F15" s="347">
        <f>IF(ISNUMBER(
   IF(D_I="SI",(Datos!K15-Datos!U15)/Datos!U15,(Datos!K15+Datos!AE15-(Datos!U15+Datos!AM15))/(Datos!U15+Datos!AM15))
     ),IF(D_I="SI",(Datos!K15-Datos!U15)/Datos!U15,(Datos!K15+Datos!AE15-(Datos!U15+Datos!AM15))/(Datos!U15+Datos!AM15))," - ")</f>
        <v>0.17269736842105263</v>
      </c>
      <c r="G15" s="348">
        <f>IF(ISNUMBER(
   IF(D_I="SI",(Datos!L15-Datos!V15)/Datos!V15,(Datos!L15+Datos!AF15-(Datos!V15+Datos!AN15))/(Datos!V15+Datos!AN15))
     ),IF(D_I="SI",(Datos!L15-Datos!V15)/Datos!V15,(Datos!L15+Datos!AF15-(Datos!V15+Datos!AN15))/(Datos!V15+Datos!AN15))," - ")</f>
        <v>-6.5415549597855227E-2</v>
      </c>
      <c r="H15" s="229">
        <f>IF(ISNUMBER((Datos!M15-Datos!W15)/Datos!W15),(Datos!M15-Datos!W15)/Datos!W15," - ")</f>
        <v>-0.1111111111111111</v>
      </c>
      <c r="I15" s="349">
        <f>IF(ISNUMBER((Tasas!C15-Datos!BE15)/Datos!BE15),(Tasas!C15-Datos!BE15)/Datos!BE15," - ")</f>
        <v>-0.20304720077909674</v>
      </c>
      <c r="J15" s="348">
        <f>IF(ISNUMBER((Tasas!D15-Datos!BF15)/Datos!BF15),(Tasas!D15-Datos!BF15)/Datos!BF15," - ")</f>
        <v>-0.24201340190119999</v>
      </c>
      <c r="K15" s="350">
        <f>IF(ISNUMBER((Tasas!E15-Datos!BG15)/Datos!BG15),(Tasas!E15-Datos!BG15)/Datos!BG15," - ")</f>
        <v>-0.11378072152911886</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-0.58227848101265822</v>
      </c>
      <c r="E17" s="347">
        <f>IF(ISNUMBER(
   IF(D_I="SI",(Datos!J17-Datos!T17)/Datos!T17,(Datos!J17+Datos!AD17-(Datos!T17+Datos!AL17))/(Datos!T17+Datos!AL17))
     ),IF(D_I="SI",(Datos!J17-Datos!T17)/Datos!T17,(Datos!J17+Datos!AD17-(Datos!T17+Datos!AL17))/(Datos!T17+Datos!AL17))," - ")</f>
        <v>-1</v>
      </c>
      <c r="F17" s="347">
        <f>IF(ISNUMBER(
   IF(D_I="SI",(Datos!K17-Datos!U17)/Datos!U17,(Datos!K17+Datos!AE17-(Datos!U17+Datos!AM17))/(Datos!U17+Datos!AM17))
     ),IF(D_I="SI",(Datos!K17-Datos!U17)/Datos!U17,(Datos!K17+Datos!AE17-(Datos!U17+Datos!AM17))/(Datos!U17+Datos!AM17))," - ")</f>
        <v>0.5</v>
      </c>
      <c r="G17" s="348">
        <f>IF(ISNUMBER(
   IF(D_I="SI",(Datos!L17-Datos!V17)/Datos!V17,(Datos!L17+Datos!AF17-(Datos!V17+Datos!AN17))/(Datos!V17+Datos!AN17))
     ),IF(D_I="SI",(Datos!L17-Datos!V17)/Datos!V17,(Datos!L17+Datos!AF17-(Datos!V17+Datos!AN17))/(Datos!V17+Datos!AN17))," - ")</f>
        <v>-0.75</v>
      </c>
      <c r="H17" s="229" t="str">
        <f>IF(ISNUMBER((Datos!M17-Datos!W17)/Datos!W17),(Datos!M17-Datos!W17)/Datos!W17," - ")</f>
        <v xml:space="preserve"> - </v>
      </c>
      <c r="I17" s="349">
        <f>IF(ISNUMBER((Tasas!C17-Datos!BE17)/Datos!BE17),(Tasas!C17-Datos!BE17)/Datos!BE17," - ")</f>
        <v>-0.83333333333333326</v>
      </c>
      <c r="J17" s="348" t="str">
        <f>IF(ISNUMBER((Tasas!D17-Datos!BF17)/Datos!BF17),(Tasas!D17-Datos!BF17)/Datos!BF17," - ")</f>
        <v xml:space="preserve"> - </v>
      </c>
      <c r="K17" s="350">
        <f>IF(ISNUMBER((Tasas!E17-Datos!BG17)/Datos!BG17),(Tasas!E17-Datos!BG17)/Datos!BG17," - ")</f>
        <v>-0.72839506172839508</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0.78735632183908044</v>
      </c>
      <c r="E18" s="347">
        <f>IF(ISNUMBER(
   IF(D_I="SI",(Datos!J18-Datos!T18)/Datos!T18,(Datos!J18+Datos!AD18-(Datos!T18+Datos!AL18))/(Datos!T18+Datos!AL18))
     ),IF(D_I="SI",(Datos!J18-Datos!T18)/Datos!T18,(Datos!J18+Datos!AD18-(Datos!T18+Datos!AL18))/(Datos!T18+Datos!AL18))," - ")</f>
        <v>9.8947368421052631E-2</v>
      </c>
      <c r="F18" s="347">
        <f>IF(ISNUMBER(
   IF(D_I="SI",(Datos!K18-Datos!U18)/Datos!U18,(Datos!K18+Datos!AE18-(Datos!U18+Datos!AM18))/(Datos!U18+Datos!AM18))
     ),IF(D_I="SI",(Datos!K18-Datos!U18)/Datos!U18,(Datos!K18+Datos!AE18-(Datos!U18+Datos!AM18))/(Datos!U18+Datos!AM18))," - ")</f>
        <v>0.22388059701492538</v>
      </c>
      <c r="G18" s="348">
        <f>IF(ISNUMBER(
   IF(D_I="SI",(Datos!L18-Datos!V18)/Datos!V18,(Datos!L18+Datos!AF18-(Datos!V18+Datos!AN18))/(Datos!V18+Datos!AN18))
     ),IF(D_I="SI",(Datos!L18-Datos!V18)/Datos!V18,(Datos!L18+Datos!AF18-(Datos!V18+Datos!AN18))/(Datos!V18+Datos!AN18))," - ")</f>
        <v>0.29281767955801102</v>
      </c>
      <c r="H18" s="229">
        <f>IF(ISNUMBER((Datos!M18-Datos!W18)/Datos!W18),(Datos!M18-Datos!W18)/Datos!W18," - ")</f>
        <v>-0.14285714285714285</v>
      </c>
      <c r="I18" s="349">
        <f>IF(ISNUMBER((Tasas!C18-Datos!BE18)/Datos!BE18),(Tasas!C18-Datos!BE18)/Datos!BE18," - ")</f>
        <v>5.6326640614472366E-2</v>
      </c>
      <c r="J18" s="348">
        <f>IF(ISNUMBER((Tasas!D18-Datos!BF18)/Datos!BF18),(Tasas!D18-Datos!BF18)/Datos!BF18," - ")</f>
        <v>-0.2996515679442508</v>
      </c>
      <c r="K18" s="350">
        <f>IF(ISNUMBER((Tasas!E18-Datos!BG18)/Datos!BG18),(Tasas!E18-Datos!BG18)/Datos!BG18," - ")</f>
        <v>4.8724115900635169E-2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0.1030212976721149</v>
      </c>
      <c r="E19" s="353">
        <f>IF(ISNUMBER(
   IF(D_I="SI",(Datos!J19-Datos!T19)/Datos!T19,(Datos!J19+Datos!AD19-(Datos!T19+Datos!AL19))/(Datos!T19+Datos!AL19))
     ),IF(D_I="SI",(Datos!J19-Datos!T19)/Datos!T19,(Datos!J19+Datos!AD19-(Datos!T19+Datos!AL19))/(Datos!T19+Datos!AL19))," - ")</f>
        <v>2.7164685908319185E-2</v>
      </c>
      <c r="F19" s="353">
        <f>IF(ISNUMBER(
   IF(D_I="SI",(Datos!K19-Datos!U19)/Datos!U19,(Datos!K19+Datos!AE19-(Datos!U19+Datos!AM19))/(Datos!U19+Datos!AM19))
     ),IF(D_I="SI",(Datos!K19-Datos!U19)/Datos!U19,(Datos!K19+Datos!AE19-(Datos!U19+Datos!AM19))/(Datos!U19+Datos!AM19))," - ")</f>
        <v>0.1887905604719764</v>
      </c>
      <c r="G19" s="354">
        <f>IF(ISNUMBER(
   IF(D_I="SI",(Datos!L19-Datos!V19)/Datos!V19,(Datos!L19+Datos!AF19-(Datos!V19+Datos!AN19))/(Datos!V19+Datos!AN19))
     ),IF(D_I="SI",(Datos!L19-Datos!V19)/Datos!V19,(Datos!L19+Datos!AF19-(Datos!V19+Datos!AN19))/(Datos!V19+Datos!AN19))," - ")</f>
        <v>-5.8073654390934842E-2</v>
      </c>
      <c r="H19" s="355">
        <f>IF(ISNUMBER((Datos!M19-Datos!W19)/Datos!W19),(Datos!M19-Datos!W19)/Datos!W19," - ")</f>
        <v>-0.11969111969111969</v>
      </c>
      <c r="I19" s="356">
        <f>IF(ISNUMBER((Tasas!C19-Datos!BE19)/Datos!BE19),(Tasas!C19-Datos!BE19)/Datos!BE19," - ")</f>
        <v>-0.20765997230403693</v>
      </c>
      <c r="J19" s="354">
        <f>IF(ISNUMBER((Tasas!D19-Datos!BF19)/Datos!BF19),(Tasas!D19-Datos!BF19)/Datos!BF19," - ")</f>
        <v>-0.25949203368558216</v>
      </c>
      <c r="K19" s="357">
        <f>IF(ISNUMBER((Tasas!E19-Datos!BG19)/Datos!BG19),(Tasas!E19-Datos!BG19)/Datos!BG19," - ")</f>
        <v>-0.1019296638130031</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1.4036867918146456E-2</v>
      </c>
      <c r="E20" s="362">
        <f>IF(ISNUMBER(
   IF(J_V="SI",(Datos!J20-Datos!T20)/Datos!T20,(Datos!J20+Datos!Z20-(Datos!T20+Datos!AH20))/(Datos!T20+Datos!AH20))
     ),IF(J_V="SI",(Datos!J20-Datos!T20)/Datos!T20,(Datos!J20+Datos!Z20-(Datos!T20+Datos!AH20))/(Datos!T20+Datos!AH20))," - ")</f>
        <v>-0.16509537382153036</v>
      </c>
      <c r="F20" s="362">
        <f>IF(ISNUMBER(
   IF(J_V="SI",(Datos!K20-Datos!U20)/Datos!U20,(Datos!K20+Datos!AA20-(Datos!U20+Datos!AI20))/(Datos!U20+Datos!AI20))
     ),IF(J_V="SI",(Datos!K20-Datos!U20)/Datos!U20,(Datos!K20+Datos!AA20-(Datos!U20+Datos!AI20))/(Datos!U20+Datos!AI20))," - ")</f>
        <v>-6.1098221191028618E-2</v>
      </c>
      <c r="G20" s="363">
        <f>IF(ISNUMBER(
   IF(J_V="SI",(Datos!L20-Datos!V20)/Datos!V20,(Datos!L20+Datos!AB20-(Datos!V20+Datos!AJ20))/(Datos!V20+Datos!AJ20))
     ),IF(J_V="SI",(Datos!L20-Datos!V20)/Datos!V20,(Datos!L20+Datos!AB20-(Datos!V20+Datos!AJ20))/(Datos!V20+Datos!AJ20))," - ")</f>
        <v>-7.233656174334141E-2</v>
      </c>
      <c r="H20" s="364">
        <f>IF(ISNUMBER((Datos!M20-Datos!W20)/Datos!W20),(Datos!M20-Datos!W20)/Datos!W20," - ")</f>
        <v>-0.23105360443622922</v>
      </c>
      <c r="I20" s="361">
        <f>IF(ISNUMBER((Tasas!C20-Datos!BE20)/Datos!BE20),(Tasas!C20-Datos!BE20)/Datos!BE20," - ")</f>
        <v>-1.1969665843608203E-2</v>
      </c>
      <c r="J20" s="362">
        <f>IF(ISNUMBER((Tasas!D20-Datos!BF20)/Datos!BF20),(Tasas!D20-Datos!BF20)/Datos!BF20," - ")</f>
        <v>0.18626730976624778</v>
      </c>
      <c r="K20" s="363">
        <f>IF(ISNUMBER((Tasas!E20-Datos!BG20)/Datos!BG20),(Tasas!E20-Datos!BG20)/Datos!BG20," - ")</f>
        <v>-3.0564425789252501E-3</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0.48760893604068684</v>
      </c>
      <c r="E22" s="277">
        <f t="shared" si="1"/>
        <v>0.47734959868283972</v>
      </c>
      <c r="F22" s="277">
        <f t="shared" si="1"/>
        <v>0.352078258606356</v>
      </c>
      <c r="G22" s="278">
        <f t="shared" si="1"/>
        <v>0.39408925924364901</v>
      </c>
      <c r="H22" s="284">
        <f t="shared" si="1"/>
        <v>0.19190535118775257</v>
      </c>
      <c r="I22" s="276">
        <f t="shared" si="1"/>
        <v>0.47652956518655232</v>
      </c>
      <c r="J22" s="277">
        <f t="shared" si="1"/>
        <v>0.48529367773003163</v>
      </c>
      <c r="K22" s="278">
        <f t="shared" si="1"/>
        <v>0.39925358843763525</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WqSC/L9tCLTNf5QYRC7dXoXWwfHxJrYKNB1cT7A9tqaVlvFv6TDHaPLg50tQgktcE/h67vxKWKcRdLhN5mUzvw==" saltValue="SX1kSMpgdDMz0gYyr+l6L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2026-06-18T13:53:22Z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